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/>
  <mc:AlternateContent xmlns:mc="http://schemas.openxmlformats.org/markup-compatibility/2006">
    <mc:Choice Requires="x15">
      <x15ac:absPath xmlns:x15ac="http://schemas.microsoft.com/office/spreadsheetml/2010/11/ac" url="https://unsw.sharepoint.com/sites/PacificIslandStudy/Shared Documents/General/Report C_TEA of the Pacific Hydrogen Economy/Appendix/"/>
    </mc:Choice>
  </mc:AlternateContent>
  <xr:revisionPtr revIDLastSave="1070" documentId="8_{AE065FC8-8468-424C-9749-B72917E8267F}" xr6:coauthVersionLast="47" xr6:coauthVersionMax="47" xr10:uidLastSave="{EEC3A414-056F-4FDE-AAAD-8AF56CA30B07}"/>
  <bookViews>
    <workbookView xWindow="-120" yWindow="-120" windowWidth="38640" windowHeight="21240" tabRatio="788" xr2:uid="{C1EC8B73-D97F-451E-8663-71F252EDA72C}"/>
  </bookViews>
  <sheets>
    <sheet name="Sector Demands" sheetId="1" r:id="rId1"/>
    <sheet name="Hydrogen Demand" sheetId="2" r:id="rId2"/>
    <sheet name="Ammonia Demand" sheetId="3" r:id="rId3"/>
    <sheet name="Methanol Demand" sheetId="4" r:id="rId4"/>
    <sheet name="Renewable Diesel Demand" sheetId="5" r:id="rId5"/>
    <sheet name="SAF Demand" sheetId="6" r:id="rId6"/>
    <sheet name="Converter" sheetId="7" r:id="rId7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E46" i="1" l="1"/>
  <c r="C33" i="1"/>
  <c r="C32" i="1"/>
  <c r="D31" i="1"/>
  <c r="D30" i="1"/>
  <c r="D6" i="7"/>
  <c r="E6" i="7" s="1"/>
  <c r="F6" i="7" s="1"/>
  <c r="D7" i="7"/>
  <c r="E7" i="7" s="1"/>
  <c r="F7" i="7" s="1"/>
  <c r="D8" i="7"/>
  <c r="E8" i="7" s="1"/>
  <c r="F8" i="7" s="1"/>
  <c r="D9" i="7"/>
  <c r="E9" i="7" s="1"/>
  <c r="F9" i="7" s="1"/>
  <c r="D10" i="7"/>
  <c r="E10" i="7" s="1"/>
  <c r="F10" i="7" s="1"/>
  <c r="D5" i="7"/>
  <c r="E5" i="7" s="1"/>
  <c r="F5" i="7" s="1"/>
  <c r="C24" i="3"/>
  <c r="D24" i="3" s="1"/>
  <c r="D28" i="3" s="1"/>
  <c r="D32" i="3" s="1"/>
  <c r="D18" i="3"/>
  <c r="D19" i="3" s="1"/>
  <c r="C18" i="3"/>
  <c r="C19" i="3" s="1"/>
  <c r="C27" i="3" l="1"/>
  <c r="C23" i="3"/>
  <c r="C25" i="3" s="1"/>
  <c r="C31" i="3"/>
  <c r="D27" i="3"/>
  <c r="D29" i="3" s="1"/>
  <c r="D31" i="3"/>
  <c r="D33" i="3" s="1"/>
  <c r="D23" i="3"/>
  <c r="D25" i="3" s="1"/>
  <c r="C28" i="3"/>
  <c r="C32" i="3" s="1"/>
  <c r="C33" i="3" l="1"/>
  <c r="C29" i="3"/>
  <c r="I20" i="3" l="1"/>
  <c r="I21" i="3" s="1"/>
  <c r="J20" i="3"/>
  <c r="J21" i="3" s="1"/>
  <c r="J23" i="3" l="1"/>
  <c r="J22" i="3"/>
  <c r="I23" i="3"/>
  <c r="I22" i="3"/>
  <c r="D123" i="5" l="1"/>
  <c r="D129" i="5" s="1"/>
  <c r="C123" i="5"/>
  <c r="C129" i="5" s="1"/>
  <c r="C119" i="5"/>
  <c r="C115" i="5" s="1"/>
  <c r="D113" i="5"/>
  <c r="D119" i="5" s="1"/>
  <c r="C113" i="5"/>
  <c r="D103" i="5"/>
  <c r="D109" i="5" s="1"/>
  <c r="C103" i="5"/>
  <c r="C109" i="5" s="1"/>
  <c r="C99" i="5"/>
  <c r="C97" i="5" s="1"/>
  <c r="D93" i="5"/>
  <c r="D99" i="5" s="1"/>
  <c r="C93" i="5"/>
  <c r="C89" i="5"/>
  <c r="C87" i="5"/>
  <c r="C85" i="5"/>
  <c r="D83" i="5"/>
  <c r="D89" i="5" s="1"/>
  <c r="C83" i="5"/>
  <c r="D73" i="5"/>
  <c r="D79" i="5" s="1"/>
  <c r="C73" i="5"/>
  <c r="C79" i="5" s="1"/>
  <c r="O47" i="5"/>
  <c r="O45" i="5" s="1"/>
  <c r="O46" i="5"/>
  <c r="P44" i="5"/>
  <c r="P47" i="5" s="1"/>
  <c r="O44" i="5"/>
  <c r="P39" i="5"/>
  <c r="P37" i="5" s="1"/>
  <c r="O39" i="5"/>
  <c r="O38" i="5" s="1"/>
  <c r="P36" i="5"/>
  <c r="O36" i="5"/>
  <c r="P28" i="5"/>
  <c r="P31" i="5" s="1"/>
  <c r="O28" i="5"/>
  <c r="O31" i="5" s="1"/>
  <c r="O23" i="5"/>
  <c r="O21" i="5" s="1"/>
  <c r="O22" i="5"/>
  <c r="P20" i="5"/>
  <c r="P23" i="5" s="1"/>
  <c r="O20" i="5"/>
  <c r="P12" i="5"/>
  <c r="P15" i="5" s="1"/>
  <c r="O12" i="5"/>
  <c r="O15" i="5" s="1"/>
  <c r="J28" i="5"/>
  <c r="J31" i="5" s="1"/>
  <c r="I28" i="5"/>
  <c r="I31" i="5" s="1"/>
  <c r="J20" i="5"/>
  <c r="J23" i="5" s="1"/>
  <c r="I20" i="5"/>
  <c r="I23" i="5" s="1"/>
  <c r="J12" i="5"/>
  <c r="J15" i="5" s="1"/>
  <c r="I12" i="5"/>
  <c r="I15" i="5" s="1"/>
  <c r="D60" i="5"/>
  <c r="C60" i="5"/>
  <c r="D64" i="5" s="1"/>
  <c r="D66" i="5" s="1"/>
  <c r="C52" i="5"/>
  <c r="C56" i="5" s="1"/>
  <c r="D48" i="5"/>
  <c r="C48" i="5"/>
  <c r="D52" i="5" s="1"/>
  <c r="D56" i="5" s="1"/>
  <c r="D40" i="5"/>
  <c r="D44" i="5" s="1"/>
  <c r="C40" i="5"/>
  <c r="C44" i="5" s="1"/>
  <c r="D36" i="5"/>
  <c r="C36" i="5"/>
  <c r="D24" i="5"/>
  <c r="C24" i="5"/>
  <c r="C28" i="5" s="1"/>
  <c r="C32" i="5" s="1"/>
  <c r="D15" i="5"/>
  <c r="D19" i="5" s="1"/>
  <c r="D11" i="5"/>
  <c r="C11" i="5"/>
  <c r="C15" i="5" s="1"/>
  <c r="C19" i="5" s="1"/>
  <c r="C61" i="6"/>
  <c r="C60" i="6" s="1"/>
  <c r="D57" i="6"/>
  <c r="D61" i="6" s="1"/>
  <c r="D55" i="6"/>
  <c r="D53" i="6" s="1"/>
  <c r="C55" i="6"/>
  <c r="C54" i="6" s="1"/>
  <c r="C49" i="6"/>
  <c r="C47" i="6" s="1"/>
  <c r="C48" i="6"/>
  <c r="D45" i="6"/>
  <c r="D49" i="6" s="1"/>
  <c r="D43" i="6"/>
  <c r="D42" i="6" s="1"/>
  <c r="C43" i="6"/>
  <c r="C42" i="6" s="1"/>
  <c r="D37" i="6"/>
  <c r="D35" i="6" s="1"/>
  <c r="C37" i="6"/>
  <c r="C35" i="6" s="1"/>
  <c r="D36" i="6"/>
  <c r="D31" i="6"/>
  <c r="D30" i="6" s="1"/>
  <c r="C31" i="6"/>
  <c r="C30" i="6" s="1"/>
  <c r="D25" i="6"/>
  <c r="D24" i="6" s="1"/>
  <c r="C25" i="6"/>
  <c r="C23" i="6" s="1"/>
  <c r="D23" i="6"/>
  <c r="D19" i="6"/>
  <c r="D18" i="6" s="1"/>
  <c r="C19" i="6"/>
  <c r="C18" i="6" s="1"/>
  <c r="D17" i="6"/>
  <c r="C17" i="6"/>
  <c r="D13" i="6"/>
  <c r="D12" i="6" s="1"/>
  <c r="C13" i="6"/>
  <c r="C11" i="6" s="1"/>
  <c r="C12" i="6"/>
  <c r="J52" i="3"/>
  <c r="I52" i="3"/>
  <c r="J44" i="3"/>
  <c r="I44" i="3"/>
  <c r="J36" i="3"/>
  <c r="I36" i="3"/>
  <c r="J28" i="3"/>
  <c r="I28" i="3"/>
  <c r="O20" i="4"/>
  <c r="P20" i="4"/>
  <c r="O28" i="4"/>
  <c r="P28" i="4"/>
  <c r="O36" i="4"/>
  <c r="P36" i="4"/>
  <c r="O44" i="4"/>
  <c r="P44" i="4"/>
  <c r="O52" i="4"/>
  <c r="P52" i="4"/>
  <c r="J45" i="4"/>
  <c r="J48" i="4" s="1"/>
  <c r="I45" i="4"/>
  <c r="I48" i="4" s="1"/>
  <c r="J38" i="4"/>
  <c r="J39" i="4" s="1"/>
  <c r="I38" i="4"/>
  <c r="I41" i="4" s="1"/>
  <c r="J31" i="4"/>
  <c r="J34" i="4" s="1"/>
  <c r="I31" i="4"/>
  <c r="I34" i="4" s="1"/>
  <c r="J24" i="4"/>
  <c r="J27" i="4" s="1"/>
  <c r="I24" i="4"/>
  <c r="I27" i="4" s="1"/>
  <c r="D90" i="4"/>
  <c r="D99" i="4" s="1"/>
  <c r="C90" i="4"/>
  <c r="C99" i="4" s="1"/>
  <c r="D77" i="4"/>
  <c r="D86" i="4" s="1"/>
  <c r="C77" i="4"/>
  <c r="C86" i="4" s="1"/>
  <c r="D64" i="4"/>
  <c r="D68" i="4" s="1"/>
  <c r="C64" i="4"/>
  <c r="C73" i="4" s="1"/>
  <c r="D51" i="4"/>
  <c r="D53" i="4" s="1"/>
  <c r="C51" i="4"/>
  <c r="C55" i="4" s="1"/>
  <c r="D38" i="4"/>
  <c r="D42" i="4" s="1"/>
  <c r="C38" i="4"/>
  <c r="C40" i="4" s="1"/>
  <c r="D24" i="4"/>
  <c r="D33" i="4" s="1"/>
  <c r="C24" i="4"/>
  <c r="C33" i="4" s="1"/>
  <c r="J25" i="2"/>
  <c r="J27" i="2" s="1"/>
  <c r="I25" i="2"/>
  <c r="I27" i="2" s="1"/>
  <c r="J20" i="2"/>
  <c r="J22" i="2" s="1"/>
  <c r="I20" i="2"/>
  <c r="I22" i="2" s="1"/>
  <c r="J15" i="2"/>
  <c r="J17" i="2" s="1"/>
  <c r="I15" i="2"/>
  <c r="I17" i="2" s="1"/>
  <c r="D51" i="2"/>
  <c r="C51" i="2"/>
  <c r="D55" i="2" s="1"/>
  <c r="D57" i="2" s="1"/>
  <c r="D41" i="2"/>
  <c r="C41" i="2"/>
  <c r="C45" i="2" s="1"/>
  <c r="C47" i="2" s="1"/>
  <c r="D31" i="2"/>
  <c r="C31" i="2"/>
  <c r="D21" i="2"/>
  <c r="C21" i="2"/>
  <c r="D10" i="2"/>
  <c r="C10" i="2"/>
  <c r="J45" i="3" l="1"/>
  <c r="J46" i="3"/>
  <c r="J47" i="3"/>
  <c r="I55" i="3"/>
  <c r="I53" i="3"/>
  <c r="I54" i="3"/>
  <c r="I45" i="3"/>
  <c r="I47" i="3"/>
  <c r="I46" i="3"/>
  <c r="J39" i="3"/>
  <c r="J38" i="3"/>
  <c r="J37" i="3"/>
  <c r="J55" i="3"/>
  <c r="J54" i="3"/>
  <c r="J53" i="3"/>
  <c r="I29" i="3"/>
  <c r="I30" i="3"/>
  <c r="I31" i="3"/>
  <c r="J31" i="3"/>
  <c r="J29" i="3"/>
  <c r="J30" i="3"/>
  <c r="I39" i="3"/>
  <c r="I38" i="3"/>
  <c r="I37" i="3"/>
  <c r="O37" i="4"/>
  <c r="O39" i="4"/>
  <c r="O38" i="4"/>
  <c r="P31" i="4"/>
  <c r="P30" i="4"/>
  <c r="P29" i="4"/>
  <c r="O31" i="4"/>
  <c r="O30" i="4"/>
  <c r="O29" i="4"/>
  <c r="P23" i="4"/>
  <c r="P22" i="4"/>
  <c r="P21" i="4"/>
  <c r="O23" i="4"/>
  <c r="O21" i="4"/>
  <c r="O22" i="4"/>
  <c r="P54" i="4"/>
  <c r="P53" i="4"/>
  <c r="P55" i="4"/>
  <c r="O54" i="4"/>
  <c r="O53" i="4"/>
  <c r="O55" i="4"/>
  <c r="P47" i="4"/>
  <c r="P46" i="4"/>
  <c r="P45" i="4"/>
  <c r="O47" i="4"/>
  <c r="O46" i="4"/>
  <c r="O45" i="4"/>
  <c r="P39" i="4"/>
  <c r="P38" i="4"/>
  <c r="P37" i="4"/>
  <c r="D115" i="5"/>
  <c r="D117" i="5"/>
  <c r="D127" i="5"/>
  <c r="D125" i="5"/>
  <c r="D85" i="5"/>
  <c r="D87" i="5"/>
  <c r="C127" i="5"/>
  <c r="C125" i="5"/>
  <c r="D97" i="5"/>
  <c r="D95" i="5"/>
  <c r="D107" i="5"/>
  <c r="D105" i="5"/>
  <c r="D77" i="5"/>
  <c r="D75" i="5"/>
  <c r="C107" i="5"/>
  <c r="C105" i="5"/>
  <c r="C75" i="5"/>
  <c r="C77" i="5"/>
  <c r="C117" i="5"/>
  <c r="C95" i="5"/>
  <c r="P30" i="5"/>
  <c r="P29" i="5"/>
  <c r="O14" i="5"/>
  <c r="O13" i="5"/>
  <c r="O30" i="5"/>
  <c r="O29" i="5"/>
  <c r="P13" i="5"/>
  <c r="P14" i="5"/>
  <c r="P46" i="5"/>
  <c r="P45" i="5"/>
  <c r="P22" i="5"/>
  <c r="P21" i="5"/>
  <c r="O37" i="5"/>
  <c r="P38" i="5"/>
  <c r="J21" i="5"/>
  <c r="J22" i="5"/>
  <c r="I14" i="5"/>
  <c r="I13" i="5"/>
  <c r="J14" i="5"/>
  <c r="J13" i="5"/>
  <c r="I21" i="5"/>
  <c r="I22" i="5"/>
  <c r="I30" i="5"/>
  <c r="I29" i="5"/>
  <c r="J30" i="5"/>
  <c r="J29" i="5"/>
  <c r="C31" i="5"/>
  <c r="C30" i="5"/>
  <c r="C18" i="5"/>
  <c r="C17" i="5"/>
  <c r="D18" i="5"/>
  <c r="D17" i="5"/>
  <c r="C43" i="5"/>
  <c r="C42" i="5"/>
  <c r="D43" i="5"/>
  <c r="D42" i="5"/>
  <c r="D54" i="5"/>
  <c r="D55" i="5"/>
  <c r="C54" i="5"/>
  <c r="C55" i="5"/>
  <c r="D28" i="5"/>
  <c r="D32" i="5" s="1"/>
  <c r="C64" i="5"/>
  <c r="C66" i="5" s="1"/>
  <c r="D47" i="6"/>
  <c r="D48" i="6"/>
  <c r="C24" i="6"/>
  <c r="C36" i="6"/>
  <c r="D54" i="6"/>
  <c r="C41" i="6"/>
  <c r="D41" i="6"/>
  <c r="D11" i="6"/>
  <c r="C59" i="6"/>
  <c r="C29" i="6"/>
  <c r="D29" i="6"/>
  <c r="D60" i="6"/>
  <c r="D59" i="6"/>
  <c r="C53" i="6"/>
  <c r="D45" i="2"/>
  <c r="D47" i="2" s="1"/>
  <c r="J26" i="4"/>
  <c r="C44" i="4"/>
  <c r="J25" i="4"/>
  <c r="I39" i="4"/>
  <c r="I40" i="4"/>
  <c r="J40" i="4"/>
  <c r="J41" i="4"/>
  <c r="J46" i="4"/>
  <c r="J47" i="4"/>
  <c r="I32" i="4"/>
  <c r="I33" i="4"/>
  <c r="J33" i="4"/>
  <c r="J32" i="4"/>
  <c r="I25" i="4"/>
  <c r="I46" i="4"/>
  <c r="I26" i="4"/>
  <c r="I47" i="4"/>
  <c r="D40" i="4"/>
  <c r="D44" i="4"/>
  <c r="D47" i="4"/>
  <c r="C60" i="4"/>
  <c r="D70" i="4"/>
  <c r="D28" i="4"/>
  <c r="D60" i="4"/>
  <c r="C42" i="4"/>
  <c r="C26" i="4"/>
  <c r="D26" i="4"/>
  <c r="C47" i="4"/>
  <c r="D73" i="4"/>
  <c r="C28" i="4"/>
  <c r="D55" i="4"/>
  <c r="C57" i="4"/>
  <c r="C92" i="4"/>
  <c r="C30" i="4"/>
  <c r="D57" i="4"/>
  <c r="C94" i="4"/>
  <c r="D92" i="4"/>
  <c r="C79" i="4"/>
  <c r="D30" i="4"/>
  <c r="D79" i="4"/>
  <c r="D94" i="4"/>
  <c r="C66" i="4"/>
  <c r="C81" i="4"/>
  <c r="C96" i="4"/>
  <c r="D66" i="4"/>
  <c r="D81" i="4"/>
  <c r="D96" i="4"/>
  <c r="C53" i="4"/>
  <c r="C68" i="4"/>
  <c r="C83" i="4"/>
  <c r="D83" i="4"/>
  <c r="C70" i="4"/>
  <c r="D25" i="2"/>
  <c r="D27" i="2" s="1"/>
  <c r="C35" i="2"/>
  <c r="C25" i="2"/>
  <c r="C27" i="2" s="1"/>
  <c r="D14" i="2"/>
  <c r="D16" i="2" s="1"/>
  <c r="D35" i="2"/>
  <c r="D37" i="2" s="1"/>
  <c r="C14" i="2"/>
  <c r="C55" i="2"/>
  <c r="C57" i="2" s="1"/>
  <c r="AD46" i="1"/>
  <c r="AV46" i="1"/>
  <c r="U46" i="1"/>
  <c r="L46" i="1"/>
  <c r="L43" i="1" s="1"/>
  <c r="O43" i="1" s="1"/>
  <c r="C46" i="1"/>
  <c r="D27" i="1"/>
  <c r="D28" i="1"/>
  <c r="D29" i="1"/>
  <c r="D32" i="1"/>
  <c r="D33" i="1"/>
  <c r="D26" i="1"/>
  <c r="E46" i="1" l="1"/>
  <c r="C41" i="1"/>
  <c r="D41" i="1" s="1"/>
  <c r="D31" i="5"/>
  <c r="D30" i="5"/>
  <c r="C16" i="2"/>
  <c r="C37" i="2"/>
  <c r="L59" i="1"/>
  <c r="C59" i="1"/>
  <c r="AM46" i="1"/>
  <c r="AM34" i="1" s="1"/>
  <c r="AD44" i="1"/>
  <c r="AH44" i="1" s="1"/>
  <c r="AV70" i="1"/>
  <c r="AV127" i="1" s="1"/>
  <c r="BN46" i="1"/>
  <c r="BN33" i="1" s="1"/>
  <c r="X46" i="1"/>
  <c r="BJ46" i="1"/>
  <c r="I46" i="1"/>
  <c r="L41" i="1"/>
  <c r="Q41" i="1" s="1"/>
  <c r="AV81" i="1"/>
  <c r="L42" i="1"/>
  <c r="R42" i="1" s="1"/>
  <c r="L44" i="1"/>
  <c r="R44" i="1" s="1"/>
  <c r="R46" i="1"/>
  <c r="AV92" i="1"/>
  <c r="U44" i="1"/>
  <c r="Z44" i="1" s="1"/>
  <c r="Y46" i="1"/>
  <c r="C92" i="1"/>
  <c r="AV103" i="1"/>
  <c r="AV44" i="1"/>
  <c r="L81" i="1"/>
  <c r="C43" i="1"/>
  <c r="D43" i="1" s="1"/>
  <c r="BA46" i="1"/>
  <c r="U59" i="1"/>
  <c r="BE81" i="1"/>
  <c r="AD92" i="1"/>
  <c r="O46" i="1"/>
  <c r="BB46" i="1"/>
  <c r="U92" i="1"/>
  <c r="AD59" i="1"/>
  <c r="AD116" i="1" s="1"/>
  <c r="AD81" i="1"/>
  <c r="AD138" i="1" s="1"/>
  <c r="AV59" i="1"/>
  <c r="AV116" i="1" s="1"/>
  <c r="BE43" i="1"/>
  <c r="BK43" i="1" s="1"/>
  <c r="F46" i="1"/>
  <c r="C45" i="1"/>
  <c r="D45" i="1" s="1"/>
  <c r="BE44" i="1"/>
  <c r="BI44" i="1" s="1"/>
  <c r="U70" i="1"/>
  <c r="BE59" i="1"/>
  <c r="AD103" i="1"/>
  <c r="G46" i="1"/>
  <c r="L45" i="1"/>
  <c r="Q45" i="1" s="1"/>
  <c r="BG46" i="1"/>
  <c r="L92" i="1"/>
  <c r="N92" i="1" s="1"/>
  <c r="N149" i="1" s="1"/>
  <c r="BE92" i="1"/>
  <c r="AD70" i="1"/>
  <c r="H46" i="1"/>
  <c r="U43" i="1"/>
  <c r="BH46" i="1"/>
  <c r="L70" i="1"/>
  <c r="U103" i="1"/>
  <c r="W46" i="1"/>
  <c r="C70" i="1"/>
  <c r="U81" i="1"/>
  <c r="BE70" i="1"/>
  <c r="BE103" i="1"/>
  <c r="C44" i="1"/>
  <c r="I44" i="1" s="1"/>
  <c r="C81" i="1"/>
  <c r="L103" i="1"/>
  <c r="C42" i="1"/>
  <c r="H42" i="1" s="1"/>
  <c r="AG46" i="1"/>
  <c r="C103" i="1"/>
  <c r="AF46" i="1"/>
  <c r="AI46" i="1"/>
  <c r="AH46" i="1"/>
  <c r="AD43" i="1"/>
  <c r="AJ43" i="1" s="1"/>
  <c r="BI46" i="1"/>
  <c r="BE45" i="1"/>
  <c r="BK46" i="1"/>
  <c r="BE42" i="1"/>
  <c r="BE41" i="1"/>
  <c r="BF46" i="1"/>
  <c r="AV42" i="1"/>
  <c r="AV41" i="1"/>
  <c r="AW46" i="1"/>
  <c r="AX46" i="1"/>
  <c r="AV43" i="1"/>
  <c r="AY46" i="1"/>
  <c r="AZ46" i="1"/>
  <c r="BR46" i="1" s="1"/>
  <c r="AV45" i="1"/>
  <c r="BN45" i="1" s="1"/>
  <c r="AD45" i="1"/>
  <c r="AJ46" i="1"/>
  <c r="AD42" i="1"/>
  <c r="AD41" i="1"/>
  <c r="AE46" i="1"/>
  <c r="U45" i="1"/>
  <c r="Z46" i="1"/>
  <c r="AA46" i="1"/>
  <c r="U42" i="1"/>
  <c r="U41" i="1"/>
  <c r="V46" i="1"/>
  <c r="P43" i="1"/>
  <c r="R43" i="1"/>
  <c r="Q43" i="1"/>
  <c r="M46" i="1"/>
  <c r="N46" i="1"/>
  <c r="M43" i="1"/>
  <c r="P46" i="1"/>
  <c r="Q46" i="1"/>
  <c r="N43" i="1"/>
  <c r="D46" i="1"/>
  <c r="BN34" i="1" l="1"/>
  <c r="C116" i="1"/>
  <c r="C54" i="1"/>
  <c r="I54" i="1" s="1"/>
  <c r="I111" i="1" s="1"/>
  <c r="AM33" i="1"/>
  <c r="L54" i="1"/>
  <c r="Q59" i="1"/>
  <c r="Q116" i="1" s="1"/>
  <c r="R59" i="1"/>
  <c r="L57" i="1"/>
  <c r="L114" i="1" s="1"/>
  <c r="P59" i="1"/>
  <c r="L56" i="1"/>
  <c r="L55" i="1"/>
  <c r="M59" i="1"/>
  <c r="M116" i="1" s="1"/>
  <c r="N59" i="1"/>
  <c r="N116" i="1" s="1"/>
  <c r="O59" i="1"/>
  <c r="O116" i="1" s="1"/>
  <c r="L58" i="1"/>
  <c r="BN92" i="1"/>
  <c r="BN70" i="1"/>
  <c r="BN103" i="1"/>
  <c r="BN81" i="1"/>
  <c r="BN59" i="1"/>
  <c r="AM59" i="1"/>
  <c r="AM103" i="1"/>
  <c r="AM81" i="1"/>
  <c r="AM70" i="1"/>
  <c r="AM92" i="1"/>
  <c r="BS46" i="1"/>
  <c r="AR46" i="1"/>
  <c r="AM42" i="1"/>
  <c r="AV69" i="1"/>
  <c r="AV126" i="1" s="1"/>
  <c r="AI44" i="1"/>
  <c r="AR44" i="1" s="1"/>
  <c r="BQ46" i="1"/>
  <c r="BB70" i="1"/>
  <c r="BB127" i="1" s="1"/>
  <c r="BA70" i="1"/>
  <c r="BA127" i="1" s="1"/>
  <c r="AO46" i="1"/>
  <c r="BN43" i="1"/>
  <c r="AM45" i="1"/>
  <c r="AS46" i="1"/>
  <c r="BN41" i="1"/>
  <c r="AJ44" i="1"/>
  <c r="AM41" i="1"/>
  <c r="AA81" i="1"/>
  <c r="AA138" i="1" s="1"/>
  <c r="U138" i="1"/>
  <c r="BE58" i="1"/>
  <c r="BE115" i="1" s="1"/>
  <c r="BE116" i="1"/>
  <c r="Q81" i="1"/>
  <c r="Q138" i="1" s="1"/>
  <c r="L138" i="1"/>
  <c r="U67" i="1"/>
  <c r="U124" i="1" s="1"/>
  <c r="U127" i="1"/>
  <c r="BB44" i="1"/>
  <c r="BN44" i="1"/>
  <c r="AV65" i="1"/>
  <c r="AX65" i="1" s="1"/>
  <c r="AX122" i="1" s="1"/>
  <c r="BB103" i="1"/>
  <c r="BB160" i="1" s="1"/>
  <c r="AV160" i="1"/>
  <c r="AF44" i="1"/>
  <c r="BO46" i="1"/>
  <c r="AA43" i="1"/>
  <c r="AS43" i="1" s="1"/>
  <c r="AM43" i="1"/>
  <c r="AV67" i="1"/>
  <c r="AX67" i="1" s="1"/>
  <c r="AX124" i="1" s="1"/>
  <c r="C88" i="1"/>
  <c r="C145" i="1" s="1"/>
  <c r="C149" i="1"/>
  <c r="BJ81" i="1"/>
  <c r="BJ138" i="1" s="1"/>
  <c r="BE138" i="1"/>
  <c r="L116" i="1"/>
  <c r="AD98" i="1"/>
  <c r="AD155" i="1" s="1"/>
  <c r="AD160" i="1"/>
  <c r="BB81" i="1"/>
  <c r="BB138" i="1" s="1"/>
  <c r="AV138" i="1"/>
  <c r="P44" i="1"/>
  <c r="AA103" i="1"/>
  <c r="AA160" i="1" s="1"/>
  <c r="U160" i="1"/>
  <c r="AG44" i="1"/>
  <c r="I103" i="1"/>
  <c r="I160" i="1" s="1"/>
  <c r="C160" i="1"/>
  <c r="AD89" i="1"/>
  <c r="AD146" i="1" s="1"/>
  <c r="AD149" i="1"/>
  <c r="AE44" i="1"/>
  <c r="L99" i="1"/>
  <c r="L156" i="1" s="1"/>
  <c r="L160" i="1"/>
  <c r="AW70" i="1"/>
  <c r="AW127" i="1" s="1"/>
  <c r="AQ46" i="1"/>
  <c r="X92" i="1"/>
  <c r="X149" i="1" s="1"/>
  <c r="U149" i="1"/>
  <c r="AZ70" i="1"/>
  <c r="AZ127" i="1" s="1"/>
  <c r="Q70" i="1"/>
  <c r="Q127" i="1" s="1"/>
  <c r="L127" i="1"/>
  <c r="BP46" i="1"/>
  <c r="AN46" i="1"/>
  <c r="BN42" i="1"/>
  <c r="AF70" i="1"/>
  <c r="AF127" i="1" s="1"/>
  <c r="AD127" i="1"/>
  <c r="AX70" i="1"/>
  <c r="AX127" i="1" s="1"/>
  <c r="BI70" i="1"/>
  <c r="BI127" i="1" s="1"/>
  <c r="BE127" i="1"/>
  <c r="AA59" i="1"/>
  <c r="AA116" i="1" s="1"/>
  <c r="U116" i="1"/>
  <c r="BT46" i="1"/>
  <c r="U58" i="1"/>
  <c r="U115" i="1" s="1"/>
  <c r="BE91" i="1"/>
  <c r="BE148" i="1" s="1"/>
  <c r="BE149" i="1"/>
  <c r="AY70" i="1"/>
  <c r="AY127" i="1" s="1"/>
  <c r="Y44" i="1"/>
  <c r="AQ44" i="1" s="1"/>
  <c r="AM44" i="1"/>
  <c r="W44" i="1"/>
  <c r="AV66" i="1"/>
  <c r="AV123" i="1" s="1"/>
  <c r="BF103" i="1"/>
  <c r="BF160" i="1" s="1"/>
  <c r="BE160" i="1"/>
  <c r="L88" i="1"/>
  <c r="L145" i="1" s="1"/>
  <c r="L149" i="1"/>
  <c r="AV68" i="1"/>
  <c r="AX68" i="1" s="1"/>
  <c r="AX125" i="1" s="1"/>
  <c r="AY92" i="1"/>
  <c r="AY149" i="1" s="1"/>
  <c r="AV149" i="1"/>
  <c r="AP46" i="1"/>
  <c r="F41" i="1"/>
  <c r="BA92" i="1"/>
  <c r="BA149" i="1" s="1"/>
  <c r="U89" i="1"/>
  <c r="Z89" i="1" s="1"/>
  <c r="Z146" i="1" s="1"/>
  <c r="U55" i="1"/>
  <c r="Z55" i="1" s="1"/>
  <c r="Z112" i="1" s="1"/>
  <c r="Q44" i="1"/>
  <c r="Y59" i="1"/>
  <c r="Y116" i="1" s="1"/>
  <c r="U57" i="1"/>
  <c r="U114" i="1" s="1"/>
  <c r="Z59" i="1"/>
  <c r="Z116" i="1" s="1"/>
  <c r="M44" i="1"/>
  <c r="U56" i="1"/>
  <c r="X59" i="1"/>
  <c r="X116" i="1" s="1"/>
  <c r="O44" i="1"/>
  <c r="W59" i="1"/>
  <c r="W116" i="1" s="1"/>
  <c r="V59" i="1"/>
  <c r="V116" i="1" s="1"/>
  <c r="Q42" i="1"/>
  <c r="N44" i="1"/>
  <c r="U54" i="1"/>
  <c r="X54" i="1" s="1"/>
  <c r="X111" i="1" s="1"/>
  <c r="AW81" i="1"/>
  <c r="AW138" i="1" s="1"/>
  <c r="E43" i="1"/>
  <c r="AZ81" i="1"/>
  <c r="AZ138" i="1" s="1"/>
  <c r="BA81" i="1"/>
  <c r="BA138" i="1" s="1"/>
  <c r="I81" i="1"/>
  <c r="I138" i="1" s="1"/>
  <c r="C138" i="1"/>
  <c r="AW92" i="1"/>
  <c r="AW149" i="1" s="1"/>
  <c r="H59" i="1"/>
  <c r="H116" i="1" s="1"/>
  <c r="O42" i="1"/>
  <c r="BE102" i="1"/>
  <c r="BH102" i="1" s="1"/>
  <c r="BH159" i="1" s="1"/>
  <c r="G70" i="1"/>
  <c r="G127" i="1" s="1"/>
  <c r="C127" i="1"/>
  <c r="BE98" i="1"/>
  <c r="BG98" i="1" s="1"/>
  <c r="BG155" i="1" s="1"/>
  <c r="AV88" i="1"/>
  <c r="E45" i="1"/>
  <c r="C69" i="1"/>
  <c r="I69" i="1" s="1"/>
  <c r="I126" i="1" s="1"/>
  <c r="V44" i="1"/>
  <c r="N42" i="1"/>
  <c r="C80" i="1"/>
  <c r="G80" i="1" s="1"/>
  <c r="G137" i="1" s="1"/>
  <c r="BH103" i="1"/>
  <c r="BH160" i="1" s="1"/>
  <c r="P42" i="1"/>
  <c r="N103" i="1"/>
  <c r="N160" i="1" s="1"/>
  <c r="R41" i="1"/>
  <c r="AH70" i="1"/>
  <c r="AH127" i="1" s="1"/>
  <c r="O81" i="1"/>
  <c r="O138" i="1" s="1"/>
  <c r="AI70" i="1"/>
  <c r="AI127" i="1" s="1"/>
  <c r="D44" i="1"/>
  <c r="AG70" i="1"/>
  <c r="AG127" i="1" s="1"/>
  <c r="I41" i="1"/>
  <c r="H41" i="1"/>
  <c r="AA44" i="1"/>
  <c r="G41" i="1"/>
  <c r="E41" i="1"/>
  <c r="X44" i="1"/>
  <c r="AV99" i="1"/>
  <c r="AZ99" i="1" s="1"/>
  <c r="AZ156" i="1" s="1"/>
  <c r="H44" i="1"/>
  <c r="N41" i="1"/>
  <c r="M42" i="1"/>
  <c r="M103" i="1"/>
  <c r="M160" i="1" s="1"/>
  <c r="AV76" i="1"/>
  <c r="BE54" i="1"/>
  <c r="N81" i="1"/>
  <c r="N138" i="1" s="1"/>
  <c r="F44" i="1"/>
  <c r="M81" i="1"/>
  <c r="M138" i="1" s="1"/>
  <c r="BE101" i="1"/>
  <c r="P41" i="1"/>
  <c r="AY44" i="1"/>
  <c r="BE57" i="1"/>
  <c r="M41" i="1"/>
  <c r="P81" i="1"/>
  <c r="P138" i="1" s="1"/>
  <c r="I45" i="1"/>
  <c r="L77" i="1"/>
  <c r="R77" i="1" s="1"/>
  <c r="R134" i="1" s="1"/>
  <c r="AH92" i="1"/>
  <c r="AH149" i="1" s="1"/>
  <c r="O41" i="1"/>
  <c r="Z43" i="1"/>
  <c r="L80" i="1"/>
  <c r="L78" i="1"/>
  <c r="BG70" i="1"/>
  <c r="BG127" i="1" s="1"/>
  <c r="AD69" i="1"/>
  <c r="BH59" i="1"/>
  <c r="BH116" i="1" s="1"/>
  <c r="BH70" i="1"/>
  <c r="BH127" i="1" s="1"/>
  <c r="L79" i="1"/>
  <c r="W81" i="1"/>
  <c r="W138" i="1" s="1"/>
  <c r="BE56" i="1"/>
  <c r="BH56" i="1" s="1"/>
  <c r="BH113" i="1" s="1"/>
  <c r="AD67" i="1"/>
  <c r="AJ67" i="1" s="1"/>
  <c r="AJ124" i="1" s="1"/>
  <c r="BJ43" i="1"/>
  <c r="C65" i="1"/>
  <c r="H65" i="1" s="1"/>
  <c r="H122" i="1" s="1"/>
  <c r="AF92" i="1"/>
  <c r="AF149" i="1" s="1"/>
  <c r="C68" i="1"/>
  <c r="L76" i="1"/>
  <c r="BF59" i="1"/>
  <c r="BF116" i="1" s="1"/>
  <c r="BI43" i="1"/>
  <c r="C79" i="1"/>
  <c r="C136" i="1" s="1"/>
  <c r="BE69" i="1"/>
  <c r="BH43" i="1"/>
  <c r="U77" i="1"/>
  <c r="BK70" i="1"/>
  <c r="BK127" i="1" s="1"/>
  <c r="BE65" i="1"/>
  <c r="BJ70" i="1"/>
  <c r="BJ127" i="1" s="1"/>
  <c r="R81" i="1"/>
  <c r="R138" i="1" s="1"/>
  <c r="AV91" i="1"/>
  <c r="BI81" i="1"/>
  <c r="BI138" i="1" s="1"/>
  <c r="AX92" i="1"/>
  <c r="AX149" i="1" s="1"/>
  <c r="C77" i="1"/>
  <c r="U102" i="1"/>
  <c r="V102" i="1" s="1"/>
  <c r="V159" i="1" s="1"/>
  <c r="Y43" i="1"/>
  <c r="L102" i="1"/>
  <c r="BH81" i="1"/>
  <c r="BH138" i="1" s="1"/>
  <c r="BE79" i="1"/>
  <c r="Q103" i="1"/>
  <c r="Q160" i="1" s="1"/>
  <c r="O45" i="1"/>
  <c r="C58" i="1"/>
  <c r="F58" i="1" s="1"/>
  <c r="F115" i="1" s="1"/>
  <c r="AZ92" i="1"/>
  <c r="AZ149" i="1" s="1"/>
  <c r="BE78" i="1"/>
  <c r="BB92" i="1"/>
  <c r="BB149" i="1" s="1"/>
  <c r="R45" i="1"/>
  <c r="C56" i="1"/>
  <c r="C113" i="1" s="1"/>
  <c r="P103" i="1"/>
  <c r="P160" i="1" s="1"/>
  <c r="W103" i="1"/>
  <c r="W160" i="1" s="1"/>
  <c r="M45" i="1"/>
  <c r="C57" i="1"/>
  <c r="O103" i="1"/>
  <c r="O160" i="1" s="1"/>
  <c r="P70" i="1"/>
  <c r="P127" i="1" s="1"/>
  <c r="L100" i="1"/>
  <c r="O100" i="1" s="1"/>
  <c r="O157" i="1" s="1"/>
  <c r="L69" i="1"/>
  <c r="AV89" i="1"/>
  <c r="AV146" i="1" s="1"/>
  <c r="L98" i="1"/>
  <c r="D42" i="1"/>
  <c r="V103" i="1"/>
  <c r="V160" i="1" s="1"/>
  <c r="G81" i="1"/>
  <c r="G138" i="1" s="1"/>
  <c r="R70" i="1"/>
  <c r="R127" i="1" s="1"/>
  <c r="X43" i="1"/>
  <c r="BG43" i="1"/>
  <c r="C90" i="1"/>
  <c r="L67" i="1"/>
  <c r="M67" i="1" s="1"/>
  <c r="M124" i="1" s="1"/>
  <c r="AI92" i="1"/>
  <c r="AI149" i="1" s="1"/>
  <c r="O70" i="1"/>
  <c r="O127" i="1" s="1"/>
  <c r="AV77" i="1"/>
  <c r="AV134" i="1" s="1"/>
  <c r="AX44" i="1"/>
  <c r="I92" i="1"/>
  <c r="I149" i="1" s="1"/>
  <c r="AD91" i="1"/>
  <c r="V43" i="1"/>
  <c r="E81" i="1"/>
  <c r="E138" i="1" s="1"/>
  <c r="L66" i="1"/>
  <c r="AX81" i="1"/>
  <c r="AX138" i="1" s="1"/>
  <c r="AY81" i="1"/>
  <c r="AY138" i="1" s="1"/>
  <c r="AV90" i="1"/>
  <c r="AV147" i="1" s="1"/>
  <c r="AV87" i="1"/>
  <c r="AV144" i="1" s="1"/>
  <c r="H43" i="1"/>
  <c r="W43" i="1"/>
  <c r="BF43" i="1"/>
  <c r="F81" i="1"/>
  <c r="F138" i="1" s="1"/>
  <c r="D81" i="1"/>
  <c r="D138" i="1" s="1"/>
  <c r="N70" i="1"/>
  <c r="N127" i="1" s="1"/>
  <c r="AG92" i="1"/>
  <c r="AG149" i="1" s="1"/>
  <c r="AV79" i="1"/>
  <c r="AV80" i="1"/>
  <c r="AY80" i="1" s="1"/>
  <c r="AY137" i="1" s="1"/>
  <c r="G43" i="1"/>
  <c r="BA44" i="1"/>
  <c r="C76" i="1"/>
  <c r="C133" i="1" s="1"/>
  <c r="G44" i="1"/>
  <c r="AW44" i="1"/>
  <c r="C78" i="1"/>
  <c r="G78" i="1" s="1"/>
  <c r="G135" i="1" s="1"/>
  <c r="F43" i="1"/>
  <c r="E44" i="1"/>
  <c r="AZ44" i="1"/>
  <c r="BR44" i="1" s="1"/>
  <c r="H81" i="1"/>
  <c r="H138" i="1" s="1"/>
  <c r="AV78" i="1"/>
  <c r="F92" i="1"/>
  <c r="F149" i="1" s="1"/>
  <c r="U91" i="1"/>
  <c r="D59" i="1"/>
  <c r="D116" i="1" s="1"/>
  <c r="G103" i="1"/>
  <c r="G160" i="1" s="1"/>
  <c r="U69" i="1"/>
  <c r="BF81" i="1"/>
  <c r="BF138" i="1" s="1"/>
  <c r="BH92" i="1"/>
  <c r="BH149" i="1" s="1"/>
  <c r="BK81" i="1"/>
  <c r="BK138" i="1" s="1"/>
  <c r="AV101" i="1"/>
  <c r="I59" i="1"/>
  <c r="I116" i="1" s="1"/>
  <c r="C99" i="1"/>
  <c r="Y103" i="1"/>
  <c r="Y160" i="1" s="1"/>
  <c r="U99" i="1"/>
  <c r="AY103" i="1"/>
  <c r="AY160" i="1" s="1"/>
  <c r="BE80" i="1"/>
  <c r="BE76" i="1"/>
  <c r="BE89" i="1"/>
  <c r="BK89" i="1" s="1"/>
  <c r="BK146" i="1" s="1"/>
  <c r="AW103" i="1"/>
  <c r="AW160" i="1" s="1"/>
  <c r="BJ44" i="1"/>
  <c r="F59" i="1"/>
  <c r="F116" i="1" s="1"/>
  <c r="H103" i="1"/>
  <c r="H160" i="1" s="1"/>
  <c r="U100" i="1"/>
  <c r="Y92" i="1"/>
  <c r="Y149" i="1" s="1"/>
  <c r="AX103" i="1"/>
  <c r="AX160" i="1" s="1"/>
  <c r="H92" i="1"/>
  <c r="H149" i="1" s="1"/>
  <c r="AV102" i="1"/>
  <c r="BA103" i="1"/>
  <c r="BA160" i="1" s="1"/>
  <c r="AV98" i="1"/>
  <c r="I42" i="1"/>
  <c r="E59" i="1"/>
  <c r="E116" i="1" s="1"/>
  <c r="BE67" i="1"/>
  <c r="I43" i="1"/>
  <c r="BG81" i="1"/>
  <c r="BG138" i="1" s="1"/>
  <c r="AV100" i="1"/>
  <c r="AV157" i="1" s="1"/>
  <c r="BH44" i="1"/>
  <c r="C55" i="1"/>
  <c r="Y81" i="1"/>
  <c r="Y138" i="1" s="1"/>
  <c r="P45" i="1"/>
  <c r="G59" i="1"/>
  <c r="G116" i="1" s="1"/>
  <c r="AZ103" i="1"/>
  <c r="AZ160" i="1" s="1"/>
  <c r="BE66" i="1"/>
  <c r="BE77" i="1"/>
  <c r="BB59" i="1"/>
  <c r="BB116" i="1" s="1"/>
  <c r="AV56" i="1"/>
  <c r="AV113" i="1" s="1"/>
  <c r="AV55" i="1"/>
  <c r="AV112" i="1" s="1"/>
  <c r="AV58" i="1"/>
  <c r="AV115" i="1" s="1"/>
  <c r="BA59" i="1"/>
  <c r="BA116" i="1" s="1"/>
  <c r="AY59" i="1"/>
  <c r="AY116" i="1" s="1"/>
  <c r="AE81" i="1"/>
  <c r="AE138" i="1" s="1"/>
  <c r="AD79" i="1"/>
  <c r="AD136" i="1" s="1"/>
  <c r="AJ81" i="1"/>
  <c r="AJ138" i="1" s="1"/>
  <c r="AI81" i="1"/>
  <c r="AI138" i="1" s="1"/>
  <c r="AH81" i="1"/>
  <c r="AH138" i="1" s="1"/>
  <c r="AG81" i="1"/>
  <c r="AG138" i="1" s="1"/>
  <c r="AD78" i="1"/>
  <c r="AD135" i="1" s="1"/>
  <c r="AF81" i="1"/>
  <c r="AF138" i="1" s="1"/>
  <c r="AD77" i="1"/>
  <c r="AD134" i="1" s="1"/>
  <c r="AD80" i="1"/>
  <c r="AD137" i="1" s="1"/>
  <c r="H70" i="1"/>
  <c r="H127" i="1" s="1"/>
  <c r="V81" i="1"/>
  <c r="V138" i="1" s="1"/>
  <c r="G45" i="1"/>
  <c r="F70" i="1"/>
  <c r="F127" i="1" s="1"/>
  <c r="F103" i="1"/>
  <c r="F160" i="1" s="1"/>
  <c r="L89" i="1"/>
  <c r="U76" i="1"/>
  <c r="AV57" i="1"/>
  <c r="R103" i="1"/>
  <c r="R160" i="1" s="1"/>
  <c r="L101" i="1"/>
  <c r="L158" i="1" s="1"/>
  <c r="L68" i="1"/>
  <c r="L125" i="1" s="1"/>
  <c r="M70" i="1"/>
  <c r="M127" i="1" s="1"/>
  <c r="L65" i="1"/>
  <c r="L122" i="1" s="1"/>
  <c r="H45" i="1"/>
  <c r="AE43" i="1"/>
  <c r="C67" i="1"/>
  <c r="C100" i="1"/>
  <c r="Q92" i="1"/>
  <c r="Q149" i="1" s="1"/>
  <c r="X81" i="1"/>
  <c r="X138" i="1" s="1"/>
  <c r="X70" i="1"/>
  <c r="X127" i="1" s="1"/>
  <c r="G42" i="1"/>
  <c r="AV54" i="1"/>
  <c r="R116" i="1"/>
  <c r="P116" i="1"/>
  <c r="E70" i="1"/>
  <c r="E127" i="1" s="1"/>
  <c r="C98" i="1"/>
  <c r="L91" i="1"/>
  <c r="Z81" i="1"/>
  <c r="Z138" i="1" s="1"/>
  <c r="U78" i="1"/>
  <c r="U79" i="1"/>
  <c r="BJ92" i="1"/>
  <c r="BJ149" i="1" s="1"/>
  <c r="BG92" i="1"/>
  <c r="BG149" i="1" s="1"/>
  <c r="AE103" i="1"/>
  <c r="AE160" i="1" s="1"/>
  <c r="AD101" i="1"/>
  <c r="AD158" i="1" s="1"/>
  <c r="AJ103" i="1"/>
  <c r="AJ160" i="1" s="1"/>
  <c r="AI103" i="1"/>
  <c r="AI160" i="1" s="1"/>
  <c r="AD102" i="1"/>
  <c r="AD159" i="1" s="1"/>
  <c r="AH103" i="1"/>
  <c r="AH160" i="1" s="1"/>
  <c r="AD100" i="1"/>
  <c r="AD157" i="1" s="1"/>
  <c r="AG103" i="1"/>
  <c r="AG160" i="1" s="1"/>
  <c r="AF103" i="1"/>
  <c r="AF160" i="1" s="1"/>
  <c r="AD99" i="1"/>
  <c r="AD156" i="1" s="1"/>
  <c r="E42" i="1"/>
  <c r="C66" i="1"/>
  <c r="I66" i="1" s="1"/>
  <c r="I123" i="1" s="1"/>
  <c r="E103" i="1"/>
  <c r="E160" i="1" s="1"/>
  <c r="U80" i="1"/>
  <c r="Y70" i="1"/>
  <c r="Y127" i="1" s="1"/>
  <c r="BJ103" i="1"/>
  <c r="BJ160" i="1" s="1"/>
  <c r="BK103" i="1"/>
  <c r="BK160" i="1" s="1"/>
  <c r="BI103" i="1"/>
  <c r="BI160" i="1" s="1"/>
  <c r="BG103" i="1"/>
  <c r="BG160" i="1" s="1"/>
  <c r="BE99" i="1"/>
  <c r="BE156" i="1" s="1"/>
  <c r="BG44" i="1"/>
  <c r="F42" i="1"/>
  <c r="F45" i="1"/>
  <c r="BK44" i="1"/>
  <c r="I70" i="1"/>
  <c r="I127" i="1" s="1"/>
  <c r="D103" i="1"/>
  <c r="D160" i="1" s="1"/>
  <c r="BE100" i="1"/>
  <c r="BE68" i="1"/>
  <c r="BE125" i="1" s="1"/>
  <c r="BF70" i="1"/>
  <c r="BF127" i="1" s="1"/>
  <c r="AJ70" i="1"/>
  <c r="AJ127" i="1" s="1"/>
  <c r="AD68" i="1"/>
  <c r="AD125" i="1" s="1"/>
  <c r="AD66" i="1"/>
  <c r="AD123" i="1" s="1"/>
  <c r="AD65" i="1"/>
  <c r="AD122" i="1" s="1"/>
  <c r="AE70" i="1"/>
  <c r="AE127" i="1" s="1"/>
  <c r="BJ59" i="1"/>
  <c r="BJ116" i="1" s="1"/>
  <c r="BK59" i="1"/>
  <c r="BK116" i="1" s="1"/>
  <c r="BI59" i="1"/>
  <c r="BI116" i="1" s="1"/>
  <c r="BG59" i="1"/>
  <c r="BG116" i="1" s="1"/>
  <c r="BE55" i="1"/>
  <c r="BE112" i="1" s="1"/>
  <c r="AJ92" i="1"/>
  <c r="AJ149" i="1" s="1"/>
  <c r="AD90" i="1"/>
  <c r="AD147" i="1" s="1"/>
  <c r="AD88" i="1"/>
  <c r="AD145" i="1" s="1"/>
  <c r="AD87" i="1"/>
  <c r="AD144" i="1" s="1"/>
  <c r="AE92" i="1"/>
  <c r="AE149" i="1" s="1"/>
  <c r="C102" i="1"/>
  <c r="D70" i="1"/>
  <c r="D127" i="1" s="1"/>
  <c r="C101" i="1"/>
  <c r="D101" i="1" s="1"/>
  <c r="D158" i="1" s="1"/>
  <c r="AD76" i="1"/>
  <c r="AX59" i="1"/>
  <c r="AX116" i="1" s="1"/>
  <c r="BE90" i="1"/>
  <c r="BE147" i="1" s="1"/>
  <c r="BF92" i="1"/>
  <c r="BF149" i="1" s="1"/>
  <c r="BE87" i="1"/>
  <c r="BE144" i="1" s="1"/>
  <c r="Z70" i="1"/>
  <c r="Z127" i="1" s="1"/>
  <c r="U65" i="1"/>
  <c r="U122" i="1" s="1"/>
  <c r="AA70" i="1"/>
  <c r="AA127" i="1" s="1"/>
  <c r="W70" i="1"/>
  <c r="W127" i="1" s="1"/>
  <c r="V70" i="1"/>
  <c r="V127" i="1" s="1"/>
  <c r="U68" i="1"/>
  <c r="U125" i="1" s="1"/>
  <c r="U66" i="1"/>
  <c r="U123" i="1" s="1"/>
  <c r="AW59" i="1"/>
  <c r="AW116" i="1" s="1"/>
  <c r="BE88" i="1"/>
  <c r="BK92" i="1"/>
  <c r="BK149" i="1" s="1"/>
  <c r="R92" i="1"/>
  <c r="R149" i="1" s="1"/>
  <c r="P92" i="1"/>
  <c r="P149" i="1" s="1"/>
  <c r="M92" i="1"/>
  <c r="M149" i="1" s="1"/>
  <c r="L87" i="1"/>
  <c r="L144" i="1" s="1"/>
  <c r="L90" i="1"/>
  <c r="L147" i="1" s="1"/>
  <c r="AE59" i="1"/>
  <c r="AE116" i="1" s="1"/>
  <c r="AD57" i="1"/>
  <c r="AD114" i="1" s="1"/>
  <c r="AJ59" i="1"/>
  <c r="AJ116" i="1" s="1"/>
  <c r="AD54" i="1"/>
  <c r="AD111" i="1" s="1"/>
  <c r="AI59" i="1"/>
  <c r="AI116" i="1" s="1"/>
  <c r="AH59" i="1"/>
  <c r="AH116" i="1" s="1"/>
  <c r="AG59" i="1"/>
  <c r="AG116" i="1" s="1"/>
  <c r="AD56" i="1"/>
  <c r="AD113" i="1" s="1"/>
  <c r="AD58" i="1"/>
  <c r="AD115" i="1" s="1"/>
  <c r="AF59" i="1"/>
  <c r="AF116" i="1" s="1"/>
  <c r="AD55" i="1"/>
  <c r="AD112" i="1" s="1"/>
  <c r="N45" i="1"/>
  <c r="AG43" i="1"/>
  <c r="BF44" i="1"/>
  <c r="O92" i="1"/>
  <c r="O149" i="1" s="1"/>
  <c r="Z103" i="1"/>
  <c r="Z160" i="1" s="1"/>
  <c r="X103" i="1"/>
  <c r="X160" i="1" s="1"/>
  <c r="U98" i="1"/>
  <c r="U101" i="1"/>
  <c r="AZ59" i="1"/>
  <c r="AZ116" i="1" s="1"/>
  <c r="BI92" i="1"/>
  <c r="BI149" i="1" s="1"/>
  <c r="Z92" i="1"/>
  <c r="Z149" i="1" s="1"/>
  <c r="U88" i="1"/>
  <c r="U145" i="1" s="1"/>
  <c r="U87" i="1"/>
  <c r="U144" i="1" s="1"/>
  <c r="AA92" i="1"/>
  <c r="AA149" i="1" s="1"/>
  <c r="U90" i="1"/>
  <c r="U147" i="1" s="1"/>
  <c r="W92" i="1"/>
  <c r="W149" i="1" s="1"/>
  <c r="V92" i="1"/>
  <c r="V149" i="1" s="1"/>
  <c r="C89" i="1"/>
  <c r="E92" i="1"/>
  <c r="E149" i="1" s="1"/>
  <c r="C91" i="1"/>
  <c r="G92" i="1"/>
  <c r="G149" i="1" s="1"/>
  <c r="D92" i="1"/>
  <c r="D149" i="1" s="1"/>
  <c r="C87" i="1"/>
  <c r="AI43" i="1"/>
  <c r="AH43" i="1"/>
  <c r="AF43" i="1"/>
  <c r="BK42" i="1"/>
  <c r="BG42" i="1"/>
  <c r="BF42" i="1"/>
  <c r="BJ42" i="1"/>
  <c r="BI42" i="1"/>
  <c r="BH42" i="1"/>
  <c r="BF41" i="1"/>
  <c r="BH41" i="1"/>
  <c r="BG41" i="1"/>
  <c r="BK41" i="1"/>
  <c r="BJ41" i="1"/>
  <c r="BI41" i="1"/>
  <c r="BI45" i="1"/>
  <c r="BJ45" i="1"/>
  <c r="BK45" i="1"/>
  <c r="BH45" i="1"/>
  <c r="BG45" i="1"/>
  <c r="BF45" i="1"/>
  <c r="AX43" i="1"/>
  <c r="AW43" i="1"/>
  <c r="AY43" i="1"/>
  <c r="BB43" i="1"/>
  <c r="BT43" i="1" s="1"/>
  <c r="BA43" i="1"/>
  <c r="AZ43" i="1"/>
  <c r="AZ41" i="1"/>
  <c r="AY41" i="1"/>
  <c r="AX41" i="1"/>
  <c r="BA41" i="1"/>
  <c r="AW41" i="1"/>
  <c r="BB41" i="1"/>
  <c r="BB45" i="1"/>
  <c r="AW45" i="1"/>
  <c r="AZ45" i="1"/>
  <c r="BA45" i="1"/>
  <c r="AY45" i="1"/>
  <c r="AX45" i="1"/>
  <c r="AW42" i="1"/>
  <c r="AY42" i="1"/>
  <c r="AX42" i="1"/>
  <c r="BB42" i="1"/>
  <c r="AZ42" i="1"/>
  <c r="BA42" i="1"/>
  <c r="AJ42" i="1"/>
  <c r="AI42" i="1"/>
  <c r="AH42" i="1"/>
  <c r="AG42" i="1"/>
  <c r="AF42" i="1"/>
  <c r="AE42" i="1"/>
  <c r="AF41" i="1"/>
  <c r="AE41" i="1"/>
  <c r="AG41" i="1"/>
  <c r="AJ41" i="1"/>
  <c r="AI41" i="1"/>
  <c r="AH41" i="1"/>
  <c r="AJ45" i="1"/>
  <c r="AI45" i="1"/>
  <c r="AH45" i="1"/>
  <c r="AG45" i="1"/>
  <c r="AF45" i="1"/>
  <c r="AE45" i="1"/>
  <c r="V41" i="1"/>
  <c r="X41" i="1"/>
  <c r="W41" i="1"/>
  <c r="AA41" i="1"/>
  <c r="Z41" i="1"/>
  <c r="Y41" i="1"/>
  <c r="Y45" i="1"/>
  <c r="AA45" i="1"/>
  <c r="Z45" i="1"/>
  <c r="X45" i="1"/>
  <c r="W45" i="1"/>
  <c r="V45" i="1"/>
  <c r="AA42" i="1"/>
  <c r="W42" i="1"/>
  <c r="V42" i="1"/>
  <c r="Z42" i="1"/>
  <c r="Y42" i="1"/>
  <c r="X42" i="1"/>
  <c r="BF58" i="1" l="1"/>
  <c r="BF115" i="1" s="1"/>
  <c r="M58" i="1"/>
  <c r="M115" i="1" s="1"/>
  <c r="R58" i="1"/>
  <c r="R115" i="1" s="1"/>
  <c r="O58" i="1"/>
  <c r="O115" i="1" s="1"/>
  <c r="Q58" i="1"/>
  <c r="P58" i="1"/>
  <c r="P115" i="1" s="1"/>
  <c r="N58" i="1"/>
  <c r="O55" i="1"/>
  <c r="R55" i="1"/>
  <c r="R112" i="1" s="1"/>
  <c r="Q55" i="1"/>
  <c r="Q112" i="1" s="1"/>
  <c r="P55" i="1"/>
  <c r="P112" i="1" s="1"/>
  <c r="M55" i="1"/>
  <c r="M112" i="1" s="1"/>
  <c r="N55" i="1"/>
  <c r="N112" i="1" s="1"/>
  <c r="O56" i="1"/>
  <c r="O113" i="1" s="1"/>
  <c r="M56" i="1"/>
  <c r="M113" i="1" s="1"/>
  <c r="N56" i="1"/>
  <c r="N113" i="1" s="1"/>
  <c r="R56" i="1"/>
  <c r="Q56" i="1"/>
  <c r="Q113" i="1" s="1"/>
  <c r="P56" i="1"/>
  <c r="M57" i="1"/>
  <c r="M114" i="1" s="1"/>
  <c r="Q57" i="1"/>
  <c r="Q114" i="1" s="1"/>
  <c r="P57" i="1"/>
  <c r="P114" i="1" s="1"/>
  <c r="R57" i="1"/>
  <c r="R114" i="1" s="1"/>
  <c r="O57" i="1"/>
  <c r="O114" i="1" s="1"/>
  <c r="N57" i="1"/>
  <c r="N114" i="1" s="1"/>
  <c r="L112" i="1"/>
  <c r="Q54" i="1"/>
  <c r="Q111" i="1" s="1"/>
  <c r="M54" i="1"/>
  <c r="N54" i="1"/>
  <c r="N111" i="1" s="1"/>
  <c r="O54" i="1"/>
  <c r="O111" i="1" s="1"/>
  <c r="P54" i="1"/>
  <c r="P111" i="1" s="1"/>
  <c r="R54" i="1"/>
  <c r="R111" i="1" s="1"/>
  <c r="BN55" i="1"/>
  <c r="BN57" i="1"/>
  <c r="BT59" i="1"/>
  <c r="BT116" i="1" s="1"/>
  <c r="BN58" i="1"/>
  <c r="BO59" i="1"/>
  <c r="BO116" i="1" s="1"/>
  <c r="BP59" i="1"/>
  <c r="BP116" i="1" s="1"/>
  <c r="BQ59" i="1"/>
  <c r="BQ116" i="1" s="1"/>
  <c r="BN54" i="1"/>
  <c r="BN56" i="1"/>
  <c r="BR59" i="1"/>
  <c r="BR116" i="1" s="1"/>
  <c r="BN116" i="1"/>
  <c r="BS59" i="1"/>
  <c r="BS116" i="1" s="1"/>
  <c r="BN77" i="1"/>
  <c r="BN79" i="1"/>
  <c r="BQ81" i="1"/>
  <c r="BQ138" i="1" s="1"/>
  <c r="BR81" i="1"/>
  <c r="BR138" i="1" s="1"/>
  <c r="BN138" i="1"/>
  <c r="BN80" i="1"/>
  <c r="BO81" i="1"/>
  <c r="BO138" i="1" s="1"/>
  <c r="BT81" i="1"/>
  <c r="BT138" i="1" s="1"/>
  <c r="BS81" i="1"/>
  <c r="BS138" i="1" s="1"/>
  <c r="BP81" i="1"/>
  <c r="BP138" i="1" s="1"/>
  <c r="BN76" i="1"/>
  <c r="BN78" i="1"/>
  <c r="BN99" i="1"/>
  <c r="BO103" i="1"/>
  <c r="BO160" i="1" s="1"/>
  <c r="BN101" i="1"/>
  <c r="BN98" i="1"/>
  <c r="BN160" i="1"/>
  <c r="BR103" i="1"/>
  <c r="BR160" i="1" s="1"/>
  <c r="BN100" i="1"/>
  <c r="BQ103" i="1"/>
  <c r="BQ160" i="1" s="1"/>
  <c r="BP103" i="1"/>
  <c r="BP160" i="1" s="1"/>
  <c r="BS103" i="1"/>
  <c r="BS160" i="1" s="1"/>
  <c r="BT103" i="1"/>
  <c r="BT160" i="1" s="1"/>
  <c r="BN102" i="1"/>
  <c r="BQ70" i="1"/>
  <c r="BQ127" i="1" s="1"/>
  <c r="BP70" i="1"/>
  <c r="BP127" i="1" s="1"/>
  <c r="BN69" i="1"/>
  <c r="BN127" i="1"/>
  <c r="BN68" i="1"/>
  <c r="BN66" i="1"/>
  <c r="BT70" i="1"/>
  <c r="BT127" i="1" s="1"/>
  <c r="BS70" i="1"/>
  <c r="BS127" i="1" s="1"/>
  <c r="BR70" i="1"/>
  <c r="BR127" i="1" s="1"/>
  <c r="BO70" i="1"/>
  <c r="BO127" i="1" s="1"/>
  <c r="BN67" i="1"/>
  <c r="BN65" i="1"/>
  <c r="BQ92" i="1"/>
  <c r="BQ149" i="1" s="1"/>
  <c r="BS92" i="1"/>
  <c r="BS149" i="1" s="1"/>
  <c r="BN91" i="1"/>
  <c r="BN88" i="1"/>
  <c r="BN149" i="1"/>
  <c r="BR92" i="1"/>
  <c r="BR149" i="1" s="1"/>
  <c r="BN90" i="1"/>
  <c r="BP92" i="1"/>
  <c r="BP149" i="1" s="1"/>
  <c r="BT92" i="1"/>
  <c r="BT149" i="1" s="1"/>
  <c r="BN89" i="1"/>
  <c r="BN87" i="1"/>
  <c r="BO92" i="1"/>
  <c r="BO149" i="1" s="1"/>
  <c r="AQ92" i="1"/>
  <c r="AQ149" i="1" s="1"/>
  <c r="AM88" i="1"/>
  <c r="AM149" i="1"/>
  <c r="AS92" i="1"/>
  <c r="AS149" i="1" s="1"/>
  <c r="AR92" i="1"/>
  <c r="AR149" i="1" s="1"/>
  <c r="AM91" i="1"/>
  <c r="AO92" i="1"/>
  <c r="AO149" i="1" s="1"/>
  <c r="AM90" i="1"/>
  <c r="AM89" i="1"/>
  <c r="AP92" i="1"/>
  <c r="AP149" i="1" s="1"/>
  <c r="AM87" i="1"/>
  <c r="AN92" i="1"/>
  <c r="AN149" i="1" s="1"/>
  <c r="AQ70" i="1"/>
  <c r="AQ127" i="1" s="1"/>
  <c r="AM66" i="1"/>
  <c r="AR70" i="1"/>
  <c r="AR127" i="1" s="1"/>
  <c r="AS70" i="1"/>
  <c r="AS127" i="1" s="1"/>
  <c r="AO70" i="1"/>
  <c r="AO127" i="1" s="1"/>
  <c r="AM69" i="1"/>
  <c r="AM127" i="1"/>
  <c r="AM67" i="1"/>
  <c r="AM65" i="1"/>
  <c r="AP70" i="1"/>
  <c r="AP127" i="1" s="1"/>
  <c r="AN70" i="1"/>
  <c r="AN127" i="1" s="1"/>
  <c r="AM68" i="1"/>
  <c r="AM79" i="1"/>
  <c r="AN81" i="1"/>
  <c r="AN138" i="1" s="1"/>
  <c r="AM76" i="1"/>
  <c r="AO81" i="1"/>
  <c r="AO138" i="1" s="1"/>
  <c r="AQ81" i="1"/>
  <c r="AQ138" i="1" s="1"/>
  <c r="AM138" i="1"/>
  <c r="AM77" i="1"/>
  <c r="AM78" i="1"/>
  <c r="AP81" i="1"/>
  <c r="AP138" i="1" s="1"/>
  <c r="AM80" i="1"/>
  <c r="AS81" i="1"/>
  <c r="AS138" i="1" s="1"/>
  <c r="AR81" i="1"/>
  <c r="AR138" i="1" s="1"/>
  <c r="AM101" i="1"/>
  <c r="AO103" i="1"/>
  <c r="AO160" i="1" s="1"/>
  <c r="AN103" i="1"/>
  <c r="AN160" i="1" s="1"/>
  <c r="AM98" i="1"/>
  <c r="AM160" i="1"/>
  <c r="AR103" i="1"/>
  <c r="AR160" i="1" s="1"/>
  <c r="AM100" i="1"/>
  <c r="AS103" i="1"/>
  <c r="AS160" i="1" s="1"/>
  <c r="AP103" i="1"/>
  <c r="AP160" i="1" s="1"/>
  <c r="AQ103" i="1"/>
  <c r="AQ160" i="1" s="1"/>
  <c r="AM102" i="1"/>
  <c r="AM99" i="1"/>
  <c r="AM57" i="1"/>
  <c r="AN59" i="1"/>
  <c r="AN116" i="1" s="1"/>
  <c r="AM54" i="1"/>
  <c r="AS59" i="1"/>
  <c r="AS116" i="1" s="1"/>
  <c r="AO59" i="1"/>
  <c r="AO116" i="1" s="1"/>
  <c r="AP59" i="1"/>
  <c r="AP116" i="1" s="1"/>
  <c r="AM116" i="1"/>
  <c r="AQ59" i="1"/>
  <c r="AQ116" i="1" s="1"/>
  <c r="AR59" i="1"/>
  <c r="AR116" i="1" s="1"/>
  <c r="AM56" i="1"/>
  <c r="AM58" i="1"/>
  <c r="AM55" i="1"/>
  <c r="BJ58" i="1"/>
  <c r="BJ115" i="1" s="1"/>
  <c r="M99" i="1"/>
  <c r="M156" i="1" s="1"/>
  <c r="O99" i="1"/>
  <c r="O156" i="1" s="1"/>
  <c r="BH58" i="1"/>
  <c r="BH115" i="1" s="1"/>
  <c r="BK58" i="1"/>
  <c r="BK115" i="1" s="1"/>
  <c r="AQ41" i="1"/>
  <c r="AY69" i="1"/>
  <c r="AY126" i="1" s="1"/>
  <c r="BA69" i="1"/>
  <c r="BA126" i="1" s="1"/>
  <c r="BI58" i="1"/>
  <c r="BI115" i="1" s="1"/>
  <c r="AR41" i="1"/>
  <c r="BB69" i="1"/>
  <c r="BB126" i="1" s="1"/>
  <c r="AS41" i="1"/>
  <c r="Z67" i="1"/>
  <c r="Z124" i="1" s="1"/>
  <c r="AA67" i="1"/>
  <c r="AA124" i="1" s="1"/>
  <c r="W67" i="1"/>
  <c r="W124" i="1" s="1"/>
  <c r="AN44" i="1"/>
  <c r="Y54" i="1"/>
  <c r="Y111" i="1" s="1"/>
  <c r="P100" i="1"/>
  <c r="P157" i="1" s="1"/>
  <c r="Z54" i="1"/>
  <c r="Z111" i="1" s="1"/>
  <c r="D88" i="1"/>
  <c r="D145" i="1" s="1"/>
  <c r="E88" i="1"/>
  <c r="E145" i="1" s="1"/>
  <c r="BB66" i="1"/>
  <c r="BB123" i="1" s="1"/>
  <c r="BA67" i="1"/>
  <c r="BA124" i="1" s="1"/>
  <c r="X67" i="1"/>
  <c r="X124" i="1" s="1"/>
  <c r="BA66" i="1"/>
  <c r="BA123" i="1" s="1"/>
  <c r="F88" i="1"/>
  <c r="F145" i="1" s="1"/>
  <c r="V57" i="1"/>
  <c r="V114" i="1" s="1"/>
  <c r="H88" i="1"/>
  <c r="H145" i="1" s="1"/>
  <c r="G88" i="1"/>
  <c r="G145" i="1" s="1"/>
  <c r="X57" i="1"/>
  <c r="X114" i="1" s="1"/>
  <c r="V67" i="1"/>
  <c r="V124" i="1" s="1"/>
  <c r="Y55" i="1"/>
  <c r="Y112" i="1" s="1"/>
  <c r="BS42" i="1"/>
  <c r="O88" i="1"/>
  <c r="O145" i="1" s="1"/>
  <c r="AA55" i="1"/>
  <c r="AA112" i="1" s="1"/>
  <c r="AP45" i="1"/>
  <c r="P88" i="1"/>
  <c r="P145" i="1" s="1"/>
  <c r="BG102" i="1"/>
  <c r="BG159" i="1" s="1"/>
  <c r="AW66" i="1"/>
  <c r="AW123" i="1" s="1"/>
  <c r="AY66" i="1"/>
  <c r="AY123" i="1" s="1"/>
  <c r="BB67" i="1"/>
  <c r="BB124" i="1" s="1"/>
  <c r="BR42" i="1"/>
  <c r="AP44" i="1"/>
  <c r="BS43" i="1"/>
  <c r="AX69" i="1"/>
  <c r="AX126" i="1" s="1"/>
  <c r="AW69" i="1"/>
  <c r="AW126" i="1" s="1"/>
  <c r="E79" i="1"/>
  <c r="E136" i="1" s="1"/>
  <c r="BQ43" i="1"/>
  <c r="AS45" i="1"/>
  <c r="AZ69" i="1"/>
  <c r="AZ126" i="1" s="1"/>
  <c r="BQ45" i="1"/>
  <c r="AN45" i="1"/>
  <c r="AS44" i="1"/>
  <c r="AO41" i="1"/>
  <c r="AG89" i="1"/>
  <c r="AG146" i="1" s="1"/>
  <c r="BO41" i="1"/>
  <c r="R99" i="1"/>
  <c r="R156" i="1" s="1"/>
  <c r="N99" i="1"/>
  <c r="N156" i="1" s="1"/>
  <c r="BP41" i="1"/>
  <c r="P99" i="1"/>
  <c r="P156" i="1" s="1"/>
  <c r="BK56" i="1"/>
  <c r="BK113" i="1" s="1"/>
  <c r="AS42" i="1"/>
  <c r="M77" i="1"/>
  <c r="M134" i="1" s="1"/>
  <c r="BQ41" i="1"/>
  <c r="N77" i="1"/>
  <c r="N134" i="1" s="1"/>
  <c r="Z102" i="1"/>
  <c r="Z159" i="1" s="1"/>
  <c r="BP45" i="1"/>
  <c r="BR43" i="1"/>
  <c r="AH98" i="1"/>
  <c r="AH155" i="1" s="1"/>
  <c r="AE98" i="1"/>
  <c r="AE155" i="1" s="1"/>
  <c r="AF98" i="1"/>
  <c r="AF155" i="1" s="1"/>
  <c r="BF91" i="1"/>
  <c r="BF148" i="1" s="1"/>
  <c r="BQ44" i="1"/>
  <c r="AJ98" i="1"/>
  <c r="AJ155" i="1" s="1"/>
  <c r="I56" i="1"/>
  <c r="I113" i="1" s="1"/>
  <c r="AI98" i="1"/>
  <c r="AI155" i="1" s="1"/>
  <c r="BG91" i="1"/>
  <c r="BG148" i="1" s="1"/>
  <c r="BO43" i="1"/>
  <c r="D56" i="1"/>
  <c r="D113" i="1" s="1"/>
  <c r="BH91" i="1"/>
  <c r="BH148" i="1" s="1"/>
  <c r="F69" i="1"/>
  <c r="F126" i="1" s="1"/>
  <c r="BJ91" i="1"/>
  <c r="BJ148" i="1" s="1"/>
  <c r="AO44" i="1"/>
  <c r="H69" i="1"/>
  <c r="H126" i="1" s="1"/>
  <c r="BR45" i="1"/>
  <c r="Q67" i="1"/>
  <c r="Q124" i="1" s="1"/>
  <c r="W57" i="1"/>
  <c r="W114" i="1" s="1"/>
  <c r="V89" i="1"/>
  <c r="V146" i="1" s="1"/>
  <c r="Q88" i="1"/>
  <c r="Q145" i="1" s="1"/>
  <c r="Y57" i="1"/>
  <c r="Y114" i="1" s="1"/>
  <c r="W89" i="1"/>
  <c r="W146" i="1" s="1"/>
  <c r="R88" i="1"/>
  <c r="R145" i="1" s="1"/>
  <c r="AP41" i="1"/>
  <c r="BS45" i="1"/>
  <c r="Z57" i="1"/>
  <c r="Z114" i="1" s="1"/>
  <c r="AQ42" i="1"/>
  <c r="M88" i="1"/>
  <c r="M145" i="1" s="1"/>
  <c r="AA57" i="1"/>
  <c r="AA114" i="1" s="1"/>
  <c r="Y89" i="1"/>
  <c r="Y146" i="1" s="1"/>
  <c r="AG98" i="1"/>
  <c r="AG155" i="1" s="1"/>
  <c r="X89" i="1"/>
  <c r="X146" i="1" s="1"/>
  <c r="BT42" i="1"/>
  <c r="N88" i="1"/>
  <c r="N145" i="1" s="1"/>
  <c r="AW67" i="1"/>
  <c r="AW124" i="1" s="1"/>
  <c r="BO44" i="1"/>
  <c r="AZ67" i="1"/>
  <c r="AZ124" i="1" s="1"/>
  <c r="BT44" i="1"/>
  <c r="BI66" i="1"/>
  <c r="BI123" i="1" s="1"/>
  <c r="BE123" i="1"/>
  <c r="BA79" i="1"/>
  <c r="BA136" i="1" s="1"/>
  <c r="AV136" i="1"/>
  <c r="Q76" i="1"/>
  <c r="Q133" i="1" s="1"/>
  <c r="L133" i="1"/>
  <c r="AY88" i="1"/>
  <c r="AY145" i="1" s="1"/>
  <c r="AV145" i="1"/>
  <c r="BA65" i="1"/>
  <c r="BA122" i="1" s="1"/>
  <c r="AV122" i="1"/>
  <c r="AR45" i="1"/>
  <c r="W58" i="1"/>
  <c r="W115" i="1" s="1"/>
  <c r="AH89" i="1"/>
  <c r="AH146" i="1" s="1"/>
  <c r="AX66" i="1"/>
  <c r="AX123" i="1" s="1"/>
  <c r="BI91" i="1"/>
  <c r="BI148" i="1" s="1"/>
  <c r="Z101" i="1"/>
  <c r="Z158" i="1" s="1"/>
  <c r="U158" i="1"/>
  <c r="R91" i="1"/>
  <c r="R148" i="1" s="1"/>
  <c r="L148" i="1"/>
  <c r="M89" i="1"/>
  <c r="M146" i="1" s="1"/>
  <c r="L146" i="1"/>
  <c r="M66" i="1"/>
  <c r="M123" i="1" s="1"/>
  <c r="L123" i="1"/>
  <c r="AP43" i="1"/>
  <c r="N78" i="1"/>
  <c r="N135" i="1" s="1"/>
  <c r="L135" i="1"/>
  <c r="BB99" i="1"/>
  <c r="BB156" i="1" s="1"/>
  <c r="AV156" i="1"/>
  <c r="BJ98" i="1"/>
  <c r="BJ155" i="1" s="1"/>
  <c r="BE155" i="1"/>
  <c r="AY57" i="1"/>
  <c r="AY114" i="1" s="1"/>
  <c r="AV114" i="1"/>
  <c r="L111" i="1"/>
  <c r="AZ68" i="1"/>
  <c r="AZ125" i="1" s="1"/>
  <c r="AV125" i="1"/>
  <c r="BA68" i="1"/>
  <c r="BA125" i="1" s="1"/>
  <c r="AI89" i="1"/>
  <c r="AI146" i="1" s="1"/>
  <c r="X98" i="1"/>
  <c r="X155" i="1" s="1"/>
  <c r="U155" i="1"/>
  <c r="D100" i="1"/>
  <c r="D157" i="1" s="1"/>
  <c r="C157" i="1"/>
  <c r="BK79" i="1"/>
  <c r="BK136" i="1" s="1"/>
  <c r="BE136" i="1"/>
  <c r="BK65" i="1"/>
  <c r="BK122" i="1" s="1"/>
  <c r="BE122" i="1"/>
  <c r="M80" i="1"/>
  <c r="M137" i="1" s="1"/>
  <c r="L137" i="1"/>
  <c r="BK101" i="1"/>
  <c r="BK158" i="1" s="1"/>
  <c r="BE158" i="1"/>
  <c r="AZ65" i="1"/>
  <c r="AZ122" i="1" s="1"/>
  <c r="BA91" i="1"/>
  <c r="BA148" i="1" s="1"/>
  <c r="AV148" i="1"/>
  <c r="BO45" i="1"/>
  <c r="X58" i="1"/>
  <c r="X115" i="1" s="1"/>
  <c r="L115" i="1"/>
  <c r="BA101" i="1"/>
  <c r="BA158" i="1" s="1"/>
  <c r="AV158" i="1"/>
  <c r="AQ45" i="1"/>
  <c r="BT45" i="1"/>
  <c r="BP43" i="1"/>
  <c r="D58" i="1"/>
  <c r="D115" i="1" s="1"/>
  <c r="I88" i="1"/>
  <c r="I145" i="1" s="1"/>
  <c r="Q99" i="1"/>
  <c r="Q156" i="1" s="1"/>
  <c r="Y58" i="1"/>
  <c r="Y115" i="1" s="1"/>
  <c r="Y67" i="1"/>
  <c r="Y124" i="1" s="1"/>
  <c r="AJ89" i="1"/>
  <c r="AJ146" i="1" s="1"/>
  <c r="AZ66" i="1"/>
  <c r="AZ123" i="1" s="1"/>
  <c r="BK91" i="1"/>
  <c r="BK148" i="1" s="1"/>
  <c r="BI88" i="1"/>
  <c r="BI145" i="1" s="1"/>
  <c r="BE145" i="1"/>
  <c r="G98" i="1"/>
  <c r="G155" i="1" s="1"/>
  <c r="C155" i="1"/>
  <c r="BJ67" i="1"/>
  <c r="BJ124" i="1" s="1"/>
  <c r="BE124" i="1"/>
  <c r="AN43" i="1"/>
  <c r="AR43" i="1"/>
  <c r="BB65" i="1"/>
  <c r="BB122" i="1" s="1"/>
  <c r="AA54" i="1"/>
  <c r="AA111" i="1" s="1"/>
  <c r="U111" i="1"/>
  <c r="V100" i="1"/>
  <c r="V157" i="1" s="1"/>
  <c r="U157" i="1"/>
  <c r="AH91" i="1"/>
  <c r="AH148" i="1" s="1"/>
  <c r="AD148" i="1"/>
  <c r="BB68" i="1"/>
  <c r="BB125" i="1" s="1"/>
  <c r="M102" i="1"/>
  <c r="M159" i="1" s="1"/>
  <c r="L159" i="1"/>
  <c r="AA77" i="1"/>
  <c r="AA134" i="1" s="1"/>
  <c r="U134" i="1"/>
  <c r="BF102" i="1"/>
  <c r="BF159" i="1" s="1"/>
  <c r="BE159" i="1"/>
  <c r="X55" i="1"/>
  <c r="X112" i="1" s="1"/>
  <c r="U112" i="1"/>
  <c r="AO45" i="1"/>
  <c r="Z58" i="1"/>
  <c r="Z115" i="1" s="1"/>
  <c r="BJ100" i="1"/>
  <c r="BJ157" i="1" s="1"/>
  <c r="BE157" i="1"/>
  <c r="AW65" i="1"/>
  <c r="AW122" i="1" s="1"/>
  <c r="G69" i="1"/>
  <c r="G126" i="1" s="1"/>
  <c r="O112" i="1"/>
  <c r="AA58" i="1"/>
  <c r="AA115" i="1" s="1"/>
  <c r="V80" i="1"/>
  <c r="V137" i="1" s="1"/>
  <c r="U137" i="1"/>
  <c r="AY68" i="1"/>
  <c r="AY125" i="1" s="1"/>
  <c r="AQ43" i="1"/>
  <c r="AE67" i="1"/>
  <c r="AE124" i="1" s="1"/>
  <c r="AD124" i="1"/>
  <c r="AA89" i="1"/>
  <c r="AA146" i="1" s="1"/>
  <c r="U146" i="1"/>
  <c r="AY67" i="1"/>
  <c r="AY124" i="1" s="1"/>
  <c r="AV124" i="1"/>
  <c r="AY78" i="1"/>
  <c r="AY135" i="1" s="1"/>
  <c r="AV135" i="1"/>
  <c r="H87" i="1"/>
  <c r="H144" i="1" s="1"/>
  <c r="C144" i="1"/>
  <c r="V58" i="1"/>
  <c r="V115" i="1" s="1"/>
  <c r="L113" i="1"/>
  <c r="BA98" i="1"/>
  <c r="BA155" i="1" s="1"/>
  <c r="AV155" i="1"/>
  <c r="BJ89" i="1"/>
  <c r="BJ146" i="1" s="1"/>
  <c r="BE146" i="1"/>
  <c r="Z69" i="1"/>
  <c r="Z126" i="1" s="1"/>
  <c r="U126" i="1"/>
  <c r="AO43" i="1"/>
  <c r="BP44" i="1"/>
  <c r="AA102" i="1"/>
  <c r="AA159" i="1" s="1"/>
  <c r="U159" i="1"/>
  <c r="BJ69" i="1"/>
  <c r="BJ126" i="1" s="1"/>
  <c r="BE126" i="1"/>
  <c r="BJ56" i="1"/>
  <c r="BJ113" i="1" s="1"/>
  <c r="BE113" i="1"/>
  <c r="O77" i="1"/>
  <c r="O134" i="1" s="1"/>
  <c r="L134" i="1"/>
  <c r="AZ80" i="1"/>
  <c r="AZ137" i="1" s="1"/>
  <c r="AV137" i="1"/>
  <c r="AJ69" i="1"/>
  <c r="AJ126" i="1" s="1"/>
  <c r="AD126" i="1"/>
  <c r="I99" i="1"/>
  <c r="I156" i="1" s="1"/>
  <c r="C156" i="1"/>
  <c r="AP42" i="1"/>
  <c r="AR42" i="1"/>
  <c r="BS41" i="1"/>
  <c r="AN42" i="1"/>
  <c r="BP42" i="1"/>
  <c r="E69" i="1"/>
  <c r="E126" i="1" s="1"/>
  <c r="I91" i="1"/>
  <c r="I148" i="1" s="1"/>
  <c r="C148" i="1"/>
  <c r="AI76" i="1"/>
  <c r="AI133" i="1" s="1"/>
  <c r="AD133" i="1"/>
  <c r="BF76" i="1"/>
  <c r="BF133" i="1" s="1"/>
  <c r="BE133" i="1"/>
  <c r="Q98" i="1"/>
  <c r="Q155" i="1" s="1"/>
  <c r="L155" i="1"/>
  <c r="AY65" i="1"/>
  <c r="AY122" i="1" s="1"/>
  <c r="BF54" i="1"/>
  <c r="BF111" i="1" s="1"/>
  <c r="BE111" i="1"/>
  <c r="AE89" i="1"/>
  <c r="AE146" i="1" s="1"/>
  <c r="Z76" i="1"/>
  <c r="Z133" i="1" s="1"/>
  <c r="U133" i="1"/>
  <c r="BT41" i="1"/>
  <c r="AO42" i="1"/>
  <c r="BF80" i="1"/>
  <c r="BF137" i="1" s="1"/>
  <c r="BE137" i="1"/>
  <c r="BA76" i="1"/>
  <c r="BA133" i="1" s="1"/>
  <c r="AV133" i="1"/>
  <c r="V78" i="1"/>
  <c r="V135" i="1" s="1"/>
  <c r="U135" i="1"/>
  <c r="BH77" i="1"/>
  <c r="BH134" i="1" s="1"/>
  <c r="BE134" i="1"/>
  <c r="G90" i="1"/>
  <c r="G147" i="1" s="1"/>
  <c r="C147" i="1"/>
  <c r="BQ42" i="1"/>
  <c r="G101" i="1"/>
  <c r="G158" i="1" s="1"/>
  <c r="C158" i="1"/>
  <c r="AW102" i="1"/>
  <c r="AW159" i="1" s="1"/>
  <c r="AV159" i="1"/>
  <c r="O79" i="1"/>
  <c r="O136" i="1" s="1"/>
  <c r="L136" i="1"/>
  <c r="AN41" i="1"/>
  <c r="BO42" i="1"/>
  <c r="BR41" i="1"/>
  <c r="D89" i="1"/>
  <c r="D146" i="1" s="1"/>
  <c r="C146" i="1"/>
  <c r="AF69" i="1"/>
  <c r="AF126" i="1" s="1"/>
  <c r="BG58" i="1"/>
  <c r="BG115" i="1" s="1"/>
  <c r="AZ54" i="1"/>
  <c r="AZ111" i="1" s="1"/>
  <c r="AV111" i="1"/>
  <c r="AA91" i="1"/>
  <c r="AA148" i="1" s="1"/>
  <c r="U148" i="1"/>
  <c r="BS44" i="1"/>
  <c r="R69" i="1"/>
  <c r="R126" i="1" s="1"/>
  <c r="L126" i="1"/>
  <c r="BH78" i="1"/>
  <c r="BH135" i="1" s="1"/>
  <c r="BE135" i="1"/>
  <c r="AF89" i="1"/>
  <c r="AF146" i="1" s="1"/>
  <c r="I102" i="1"/>
  <c r="I159" i="1" s="1"/>
  <c r="C159" i="1"/>
  <c r="AA79" i="1"/>
  <c r="AA136" i="1" s="1"/>
  <c r="U136" i="1"/>
  <c r="Y99" i="1"/>
  <c r="Y156" i="1" s="1"/>
  <c r="U156" i="1"/>
  <c r="P67" i="1"/>
  <c r="P124" i="1" s="1"/>
  <c r="L124" i="1"/>
  <c r="N100" i="1"/>
  <c r="N157" i="1" s="1"/>
  <c r="L157" i="1"/>
  <c r="AW68" i="1"/>
  <c r="AW125" i="1" s="1"/>
  <c r="BF57" i="1"/>
  <c r="BF114" i="1" s="1"/>
  <c r="BE114" i="1"/>
  <c r="X56" i="1"/>
  <c r="X113" i="1" s="1"/>
  <c r="U113" i="1"/>
  <c r="I58" i="1"/>
  <c r="I115" i="1" s="1"/>
  <c r="AE69" i="1"/>
  <c r="AE126" i="1" s="1"/>
  <c r="AA69" i="1"/>
  <c r="AA126" i="1" s="1"/>
  <c r="BB91" i="1"/>
  <c r="BB148" i="1" s="1"/>
  <c r="BG56" i="1"/>
  <c r="BG113" i="1" s="1"/>
  <c r="BJ77" i="1"/>
  <c r="BJ134" i="1" s="1"/>
  <c r="Z56" i="1"/>
  <c r="Z113" i="1" s="1"/>
  <c r="V54" i="1"/>
  <c r="V111" i="1" s="1"/>
  <c r="V55" i="1"/>
  <c r="V112" i="1" s="1"/>
  <c r="BB76" i="1"/>
  <c r="BB133" i="1" s="1"/>
  <c r="BK69" i="1"/>
  <c r="BK126" i="1" s="1"/>
  <c r="AA56" i="1"/>
  <c r="AA113" i="1" s="1"/>
  <c r="W54" i="1"/>
  <c r="W111" i="1" s="1"/>
  <c r="W55" i="1"/>
  <c r="W112" i="1" s="1"/>
  <c r="AW98" i="1"/>
  <c r="AW155" i="1" s="1"/>
  <c r="I79" i="1"/>
  <c r="I136" i="1" s="1"/>
  <c r="Y56" i="1"/>
  <c r="Y113" i="1" s="1"/>
  <c r="AX57" i="1"/>
  <c r="AX114" i="1" s="1"/>
  <c r="W56" i="1"/>
  <c r="W113" i="1" s="1"/>
  <c r="BB57" i="1"/>
  <c r="BB114" i="1" s="1"/>
  <c r="V56" i="1"/>
  <c r="V113" i="1" s="1"/>
  <c r="AW80" i="1"/>
  <c r="AW137" i="1" s="1"/>
  <c r="F90" i="1"/>
  <c r="F147" i="1" s="1"/>
  <c r="G54" i="1"/>
  <c r="G111" i="1" s="1"/>
  <c r="H90" i="1"/>
  <c r="H147" i="1" s="1"/>
  <c r="BJ78" i="1"/>
  <c r="BJ135" i="1" s="1"/>
  <c r="G79" i="1"/>
  <c r="G136" i="1" s="1"/>
  <c r="AW76" i="1"/>
  <c r="AW133" i="1" s="1"/>
  <c r="E76" i="1"/>
  <c r="E133" i="1" s="1"/>
  <c r="N66" i="1"/>
  <c r="N123" i="1" s="1"/>
  <c r="AX76" i="1"/>
  <c r="AX133" i="1" s="1"/>
  <c r="E101" i="1"/>
  <c r="E158" i="1" s="1"/>
  <c r="G76" i="1"/>
  <c r="G133" i="1" s="1"/>
  <c r="AY76" i="1"/>
  <c r="AY133" i="1" s="1"/>
  <c r="BK98" i="1"/>
  <c r="BK155" i="1" s="1"/>
  <c r="BG80" i="1"/>
  <c r="BG137" i="1" s="1"/>
  <c r="H76" i="1"/>
  <c r="H133" i="1" s="1"/>
  <c r="AZ76" i="1"/>
  <c r="AZ133" i="1" s="1"/>
  <c r="BF98" i="1"/>
  <c r="BF155" i="1" s="1"/>
  <c r="BH80" i="1"/>
  <c r="BH137" i="1" s="1"/>
  <c r="BI80" i="1"/>
  <c r="BI137" i="1" s="1"/>
  <c r="F76" i="1"/>
  <c r="F133" i="1" s="1"/>
  <c r="BH98" i="1"/>
  <c r="BH155" i="1" s="1"/>
  <c r="BJ80" i="1"/>
  <c r="BJ137" i="1" s="1"/>
  <c r="D76" i="1"/>
  <c r="D133" i="1" s="1"/>
  <c r="N91" i="1"/>
  <c r="N148" i="1" s="1"/>
  <c r="O78" i="1"/>
  <c r="O135" i="1" s="1"/>
  <c r="BI98" i="1"/>
  <c r="BI155" i="1" s="1"/>
  <c r="BK80" i="1"/>
  <c r="BK137" i="1" s="1"/>
  <c r="I76" i="1"/>
  <c r="I133" i="1" s="1"/>
  <c r="BI54" i="1"/>
  <c r="BI111" i="1" s="1"/>
  <c r="H79" i="1"/>
  <c r="H136" i="1" s="1"/>
  <c r="M91" i="1"/>
  <c r="M148" i="1" s="1"/>
  <c r="D79" i="1"/>
  <c r="D136" i="1" s="1"/>
  <c r="P91" i="1"/>
  <c r="P148" i="1" s="1"/>
  <c r="F79" i="1"/>
  <c r="F136" i="1" s="1"/>
  <c r="Q91" i="1"/>
  <c r="Q148" i="1" s="1"/>
  <c r="Q77" i="1"/>
  <c r="Q134" i="1" s="1"/>
  <c r="BB98" i="1"/>
  <c r="BB155" i="1" s="1"/>
  <c r="BJ102" i="1"/>
  <c r="BJ159" i="1" s="1"/>
  <c r="BF56" i="1"/>
  <c r="BF113" i="1" s="1"/>
  <c r="P77" i="1"/>
  <c r="P134" i="1" s="1"/>
  <c r="BB88" i="1"/>
  <c r="BB145" i="1" s="1"/>
  <c r="AX98" i="1"/>
  <c r="AX155" i="1" s="1"/>
  <c r="BG79" i="1"/>
  <c r="BG136" i="1" s="1"/>
  <c r="BF89" i="1"/>
  <c r="BF146" i="1" s="1"/>
  <c r="BF69" i="1"/>
  <c r="BF126" i="1" s="1"/>
  <c r="V69" i="1"/>
  <c r="V126" i="1" s="1"/>
  <c r="AA98" i="1"/>
  <c r="AA155" i="1" s="1"/>
  <c r="BA88" i="1"/>
  <c r="BA145" i="1" s="1"/>
  <c r="AY98" i="1"/>
  <c r="AY155" i="1" s="1"/>
  <c r="BH89" i="1"/>
  <c r="BH146" i="1" s="1"/>
  <c r="BG69" i="1"/>
  <c r="BG126" i="1" s="1"/>
  <c r="W69" i="1"/>
  <c r="W126" i="1" s="1"/>
  <c r="W102" i="1"/>
  <c r="W159" i="1" s="1"/>
  <c r="AW88" i="1"/>
  <c r="AW145" i="1" s="1"/>
  <c r="AZ98" i="1"/>
  <c r="AZ155" i="1" s="1"/>
  <c r="BG89" i="1"/>
  <c r="BG146" i="1" s="1"/>
  <c r="BH69" i="1"/>
  <c r="BH126" i="1" s="1"/>
  <c r="H56" i="1"/>
  <c r="H113" i="1" s="1"/>
  <c r="X69" i="1"/>
  <c r="X126" i="1" s="1"/>
  <c r="X102" i="1"/>
  <c r="X159" i="1" s="1"/>
  <c r="AZ88" i="1"/>
  <c r="AZ145" i="1" s="1"/>
  <c r="BI89" i="1"/>
  <c r="BI146" i="1" s="1"/>
  <c r="BI69" i="1"/>
  <c r="BI126" i="1" s="1"/>
  <c r="G56" i="1"/>
  <c r="G113" i="1" s="1"/>
  <c r="Y69" i="1"/>
  <c r="Y126" i="1" s="1"/>
  <c r="Y102" i="1"/>
  <c r="Y159" i="1" s="1"/>
  <c r="F56" i="1"/>
  <c r="F113" i="1" s="1"/>
  <c r="BI56" i="1"/>
  <c r="BI113" i="1" s="1"/>
  <c r="E56" i="1"/>
  <c r="E113" i="1" s="1"/>
  <c r="BI102" i="1"/>
  <c r="BI159" i="1" s="1"/>
  <c r="AX88" i="1"/>
  <c r="AX145" i="1" s="1"/>
  <c r="BK67" i="1"/>
  <c r="BK124" i="1" s="1"/>
  <c r="BK102" i="1"/>
  <c r="BK159" i="1" s="1"/>
  <c r="I68" i="1"/>
  <c r="I125" i="1" s="1"/>
  <c r="C125" i="1"/>
  <c r="F57" i="1"/>
  <c r="F114" i="1" s="1"/>
  <c r="C114" i="1"/>
  <c r="I67" i="1"/>
  <c r="I124" i="1" s="1"/>
  <c r="C124" i="1"/>
  <c r="F65" i="1"/>
  <c r="F122" i="1" s="1"/>
  <c r="C122" i="1"/>
  <c r="H78" i="1"/>
  <c r="H135" i="1" s="1"/>
  <c r="C135" i="1"/>
  <c r="V98" i="1"/>
  <c r="V155" i="1" s="1"/>
  <c r="AG69" i="1"/>
  <c r="AG126" i="1" s="1"/>
  <c r="BH57" i="1"/>
  <c r="BH114" i="1" s="1"/>
  <c r="BF77" i="1"/>
  <c r="BF134" i="1" s="1"/>
  <c r="BA80" i="1"/>
  <c r="BA137" i="1" s="1"/>
  <c r="E54" i="1"/>
  <c r="E111" i="1" s="1"/>
  <c r="AA99" i="1"/>
  <c r="AA156" i="1" s="1"/>
  <c r="AH69" i="1"/>
  <c r="AH126" i="1" s="1"/>
  <c r="D66" i="1"/>
  <c r="D123" i="1" s="1"/>
  <c r="C123" i="1"/>
  <c r="F77" i="1"/>
  <c r="F134" i="1" s="1"/>
  <c r="C134" i="1"/>
  <c r="F80" i="1"/>
  <c r="F137" i="1" s="1"/>
  <c r="C137" i="1"/>
  <c r="O91" i="1"/>
  <c r="O148" i="1" s="1"/>
  <c r="X78" i="1"/>
  <c r="X135" i="1" s="1"/>
  <c r="AX91" i="1"/>
  <c r="AX148" i="1" s="1"/>
  <c r="BB80" i="1"/>
  <c r="BB137" i="1" s="1"/>
  <c r="H55" i="1"/>
  <c r="H112" i="1" s="1"/>
  <c r="C112" i="1"/>
  <c r="D69" i="1"/>
  <c r="D126" i="1" s="1"/>
  <c r="C126" i="1"/>
  <c r="F54" i="1"/>
  <c r="F111" i="1" s="1"/>
  <c r="C111" i="1"/>
  <c r="G58" i="1"/>
  <c r="G115" i="1" s="1"/>
  <c r="C115" i="1"/>
  <c r="H58" i="1"/>
  <c r="H115" i="1" s="1"/>
  <c r="E80" i="1"/>
  <c r="E137" i="1" s="1"/>
  <c r="M100" i="1"/>
  <c r="M157" i="1" s="1"/>
  <c r="O67" i="1"/>
  <c r="O124" i="1" s="1"/>
  <c r="O89" i="1"/>
  <c r="O146" i="1" s="1"/>
  <c r="AI69" i="1"/>
  <c r="AI126" i="1" s="1"/>
  <c r="BG57" i="1"/>
  <c r="BG114" i="1" s="1"/>
  <c r="E66" i="1"/>
  <c r="E123" i="1" s="1"/>
  <c r="H80" i="1"/>
  <c r="H137" i="1" s="1"/>
  <c r="AZ91" i="1"/>
  <c r="AZ148" i="1" s="1"/>
  <c r="BI57" i="1"/>
  <c r="BI114" i="1" s="1"/>
  <c r="G66" i="1"/>
  <c r="G123" i="1" s="1"/>
  <c r="I90" i="1"/>
  <c r="I147" i="1" s="1"/>
  <c r="M111" i="1"/>
  <c r="AY99" i="1"/>
  <c r="AY156" i="1" s="1"/>
  <c r="H54" i="1"/>
  <c r="H111" i="1" s="1"/>
  <c r="E90" i="1"/>
  <c r="E147" i="1" s="1"/>
  <c r="AH67" i="1"/>
  <c r="AH124" i="1" s="1"/>
  <c r="BG54" i="1"/>
  <c r="BG111" i="1" s="1"/>
  <c r="M76" i="1"/>
  <c r="M133" i="1" s="1"/>
  <c r="O76" i="1"/>
  <c r="O133" i="1" s="1"/>
  <c r="N69" i="1"/>
  <c r="N126" i="1" s="1"/>
  <c r="I80" i="1"/>
  <c r="I137" i="1" s="1"/>
  <c r="O69" i="1"/>
  <c r="O126" i="1" s="1"/>
  <c r="R67" i="1"/>
  <c r="R124" i="1" s="1"/>
  <c r="Y98" i="1"/>
  <c r="Y155" i="1" s="1"/>
  <c r="BJ57" i="1"/>
  <c r="BJ114" i="1" s="1"/>
  <c r="BI78" i="1"/>
  <c r="BI135" i="1" s="1"/>
  <c r="BK78" i="1"/>
  <c r="BK135" i="1" s="1"/>
  <c r="H77" i="1"/>
  <c r="H134" i="1" s="1"/>
  <c r="M69" i="1"/>
  <c r="M126" i="1" s="1"/>
  <c r="M98" i="1"/>
  <c r="M155" i="1" s="1"/>
  <c r="Z98" i="1"/>
  <c r="Z155" i="1" s="1"/>
  <c r="BK57" i="1"/>
  <c r="BK114" i="1" s="1"/>
  <c r="BG78" i="1"/>
  <c r="BG135" i="1" s="1"/>
  <c r="E77" i="1"/>
  <c r="E134" i="1" s="1"/>
  <c r="P69" i="1"/>
  <c r="P126" i="1" s="1"/>
  <c r="P98" i="1"/>
  <c r="P155" i="1" s="1"/>
  <c r="W99" i="1"/>
  <c r="W156" i="1" s="1"/>
  <c r="I77" i="1"/>
  <c r="I134" i="1" s="1"/>
  <c r="Q69" i="1"/>
  <c r="Q126" i="1" s="1"/>
  <c r="X99" i="1"/>
  <c r="X156" i="1" s="1"/>
  <c r="Z99" i="1"/>
  <c r="Z156" i="1" s="1"/>
  <c r="Q100" i="1"/>
  <c r="Q157" i="1" s="1"/>
  <c r="Y79" i="1"/>
  <c r="Y136" i="1" s="1"/>
  <c r="F55" i="1"/>
  <c r="F112" i="1" s="1"/>
  <c r="D80" i="1"/>
  <c r="D137" i="1" s="1"/>
  <c r="R100" i="1"/>
  <c r="R157" i="1" s="1"/>
  <c r="N67" i="1"/>
  <c r="N124" i="1" s="1"/>
  <c r="F66" i="1"/>
  <c r="F123" i="1" s="1"/>
  <c r="BH54" i="1"/>
  <c r="BH111" i="1" s="1"/>
  <c r="D54" i="1"/>
  <c r="D111" i="1" s="1"/>
  <c r="D90" i="1"/>
  <c r="D147" i="1" s="1"/>
  <c r="O80" i="1"/>
  <c r="O137" i="1" s="1"/>
  <c r="BF78" i="1"/>
  <c r="BF135" i="1" s="1"/>
  <c r="BK77" i="1"/>
  <c r="BK134" i="1" s="1"/>
  <c r="R98" i="1"/>
  <c r="R155" i="1" s="1"/>
  <c r="AG67" i="1"/>
  <c r="AG124" i="1" s="1"/>
  <c r="AW91" i="1"/>
  <c r="AW148" i="1" s="1"/>
  <c r="AW57" i="1"/>
  <c r="AW114" i="1" s="1"/>
  <c r="BI77" i="1"/>
  <c r="BI134" i="1" s="1"/>
  <c r="V77" i="1"/>
  <c r="V134" i="1" s="1"/>
  <c r="E58" i="1"/>
  <c r="E115" i="1" s="1"/>
  <c r="G77" i="1"/>
  <c r="G134" i="1" s="1"/>
  <c r="N98" i="1"/>
  <c r="N155" i="1" s="1"/>
  <c r="W77" i="1"/>
  <c r="W134" i="1" s="1"/>
  <c r="AI67" i="1"/>
  <c r="AI124" i="1" s="1"/>
  <c r="AY91" i="1"/>
  <c r="AY148" i="1" s="1"/>
  <c r="AZ57" i="1"/>
  <c r="AZ114" i="1" s="1"/>
  <c r="BG77" i="1"/>
  <c r="BG134" i="1" s="1"/>
  <c r="X77" i="1"/>
  <c r="X134" i="1" s="1"/>
  <c r="D77" i="1"/>
  <c r="D134" i="1" s="1"/>
  <c r="D98" i="1"/>
  <c r="D155" i="1" s="1"/>
  <c r="Q78" i="1"/>
  <c r="Q135" i="1" s="1"/>
  <c r="Z77" i="1"/>
  <c r="Z134" i="1" s="1"/>
  <c r="Z79" i="1"/>
  <c r="Z136" i="1" s="1"/>
  <c r="AG76" i="1"/>
  <c r="AG133" i="1" s="1"/>
  <c r="BI67" i="1"/>
  <c r="BI124" i="1" s="1"/>
  <c r="AX80" i="1"/>
  <c r="AX137" i="1" s="1"/>
  <c r="Y77" i="1"/>
  <c r="Y134" i="1" s="1"/>
  <c r="AE76" i="1"/>
  <c r="AE133" i="1" s="1"/>
  <c r="O102" i="1"/>
  <c r="O159" i="1" s="1"/>
  <c r="BF101" i="1"/>
  <c r="BF158" i="1" s="1"/>
  <c r="R76" i="1"/>
  <c r="R133" i="1" s="1"/>
  <c r="O98" i="1"/>
  <c r="O155" i="1" s="1"/>
  <c r="W98" i="1"/>
  <c r="W155" i="1" s="1"/>
  <c r="AJ76" i="1"/>
  <c r="AJ133" i="1" s="1"/>
  <c r="BG101" i="1"/>
  <c r="BG158" i="1" s="1"/>
  <c r="BH101" i="1"/>
  <c r="BH158" i="1" s="1"/>
  <c r="H57" i="1"/>
  <c r="H114" i="1" s="1"/>
  <c r="D57" i="1"/>
  <c r="D114" i="1" s="1"/>
  <c r="D65" i="1"/>
  <c r="D122" i="1" s="1"/>
  <c r="E78" i="1"/>
  <c r="E135" i="1" s="1"/>
  <c r="F98" i="1"/>
  <c r="F155" i="1" s="1"/>
  <c r="N76" i="1"/>
  <c r="N133" i="1" s="1"/>
  <c r="N80" i="1"/>
  <c r="N137" i="1" s="1"/>
  <c r="AH76" i="1"/>
  <c r="AH133" i="1" s="1"/>
  <c r="BI101" i="1"/>
  <c r="BI158" i="1" s="1"/>
  <c r="BJ101" i="1"/>
  <c r="BJ158" i="1" s="1"/>
  <c r="I65" i="1"/>
  <c r="I122" i="1" s="1"/>
  <c r="D78" i="1"/>
  <c r="D135" i="1" s="1"/>
  <c r="E98" i="1"/>
  <c r="E155" i="1" s="1"/>
  <c r="P76" i="1"/>
  <c r="P133" i="1" s="1"/>
  <c r="P80" i="1"/>
  <c r="P137" i="1" s="1"/>
  <c r="R78" i="1"/>
  <c r="R135" i="1" s="1"/>
  <c r="AA101" i="1"/>
  <c r="AA158" i="1" s="1"/>
  <c r="AF76" i="1"/>
  <c r="AF133" i="1" s="1"/>
  <c r="BK76" i="1"/>
  <c r="BK133" i="1" s="1"/>
  <c r="E65" i="1"/>
  <c r="E122" i="1" s="1"/>
  <c r="I78" i="1"/>
  <c r="I135" i="1" s="1"/>
  <c r="R80" i="1"/>
  <c r="R137" i="1" s="1"/>
  <c r="P78" i="1"/>
  <c r="P135" i="1" s="1"/>
  <c r="BG76" i="1"/>
  <c r="BG133" i="1" s="1"/>
  <c r="BJ54" i="1"/>
  <c r="BJ111" i="1" s="1"/>
  <c r="AX99" i="1"/>
  <c r="AX156" i="1" s="1"/>
  <c r="G65" i="1"/>
  <c r="G122" i="1" s="1"/>
  <c r="Q80" i="1"/>
  <c r="Q137" i="1" s="1"/>
  <c r="M78" i="1"/>
  <c r="M135" i="1" s="1"/>
  <c r="AF67" i="1"/>
  <c r="AF124" i="1" s="1"/>
  <c r="BH76" i="1"/>
  <c r="BH133" i="1" s="1"/>
  <c r="BK54" i="1"/>
  <c r="BK111" i="1" s="1"/>
  <c r="BJ76" i="1"/>
  <c r="BJ133" i="1" s="1"/>
  <c r="AW99" i="1"/>
  <c r="AW156" i="1" s="1"/>
  <c r="BA99" i="1"/>
  <c r="BA156" i="1" s="1"/>
  <c r="I57" i="1"/>
  <c r="I114" i="1" s="1"/>
  <c r="H67" i="1"/>
  <c r="H124" i="1" s="1"/>
  <c r="D102" i="1"/>
  <c r="D159" i="1" s="1"/>
  <c r="P66" i="1"/>
  <c r="P123" i="1" s="1"/>
  <c r="BF79" i="1"/>
  <c r="BF136" i="1" s="1"/>
  <c r="AX102" i="1"/>
  <c r="AX159" i="1" s="1"/>
  <c r="D67" i="1"/>
  <c r="D124" i="1" s="1"/>
  <c r="BH79" i="1"/>
  <c r="BH136" i="1" s="1"/>
  <c r="F68" i="1"/>
  <c r="F125" i="1" s="1"/>
  <c r="BF65" i="1"/>
  <c r="BF122" i="1" s="1"/>
  <c r="BI79" i="1"/>
  <c r="BI136" i="1" s="1"/>
  <c r="R79" i="1"/>
  <c r="R136" i="1" s="1"/>
  <c r="N79" i="1"/>
  <c r="N136" i="1" s="1"/>
  <c r="Q89" i="1"/>
  <c r="Q146" i="1" s="1"/>
  <c r="E68" i="1"/>
  <c r="E125" i="1" s="1"/>
  <c r="BG65" i="1"/>
  <c r="BG122" i="1" s="1"/>
  <c r="BJ79" i="1"/>
  <c r="BJ136" i="1" s="1"/>
  <c r="Q79" i="1"/>
  <c r="Q136" i="1" s="1"/>
  <c r="G68" i="1"/>
  <c r="G125" i="1" s="1"/>
  <c r="BH65" i="1"/>
  <c r="BH122" i="1" s="1"/>
  <c r="G100" i="1"/>
  <c r="G157" i="1" s="1"/>
  <c r="H68" i="1"/>
  <c r="H125" i="1" s="1"/>
  <c r="BI65" i="1"/>
  <c r="BI122" i="1" s="1"/>
  <c r="D68" i="1"/>
  <c r="D125" i="1" s="1"/>
  <c r="BJ65" i="1"/>
  <c r="BJ122" i="1" s="1"/>
  <c r="M79" i="1"/>
  <c r="M136" i="1" s="1"/>
  <c r="O66" i="1"/>
  <c r="O123" i="1" s="1"/>
  <c r="G57" i="1"/>
  <c r="G114" i="1" s="1"/>
  <c r="R66" i="1"/>
  <c r="R123" i="1" s="1"/>
  <c r="AX101" i="1"/>
  <c r="AX158" i="1" s="1"/>
  <c r="E57" i="1"/>
  <c r="E114" i="1" s="1"/>
  <c r="Q66" i="1"/>
  <c r="Q123" i="1" s="1"/>
  <c r="AZ101" i="1"/>
  <c r="AZ158" i="1" s="1"/>
  <c r="BI100" i="1"/>
  <c r="BI157" i="1" s="1"/>
  <c r="P79" i="1"/>
  <c r="P136" i="1" s="1"/>
  <c r="BB101" i="1"/>
  <c r="BB158" i="1" s="1"/>
  <c r="H102" i="1"/>
  <c r="H159" i="1" s="1"/>
  <c r="AX54" i="1"/>
  <c r="AX111" i="1" s="1"/>
  <c r="N102" i="1"/>
  <c r="N159" i="1" s="1"/>
  <c r="Z100" i="1"/>
  <c r="Z157" i="1" s="1"/>
  <c r="R113" i="1"/>
  <c r="P102" i="1"/>
  <c r="P159" i="1" s="1"/>
  <c r="Q102" i="1"/>
  <c r="Q159" i="1" s="1"/>
  <c r="AI91" i="1"/>
  <c r="AI148" i="1" s="1"/>
  <c r="AX78" i="1"/>
  <c r="AX135" i="1" s="1"/>
  <c r="R102" i="1"/>
  <c r="R159" i="1" s="1"/>
  <c r="AZ78" i="1"/>
  <c r="AZ135" i="1" s="1"/>
  <c r="AX79" i="1"/>
  <c r="AX136" i="1" s="1"/>
  <c r="BB89" i="1"/>
  <c r="BB146" i="1" s="1"/>
  <c r="AW89" i="1"/>
  <c r="AW146" i="1" s="1"/>
  <c r="AZ89" i="1"/>
  <c r="AZ146" i="1" s="1"/>
  <c r="AY89" i="1"/>
  <c r="AY146" i="1" s="1"/>
  <c r="BA89" i="1"/>
  <c r="BA146" i="1" s="1"/>
  <c r="AX89" i="1"/>
  <c r="AX146" i="1" s="1"/>
  <c r="BB79" i="1"/>
  <c r="BB136" i="1" s="1"/>
  <c r="BG100" i="1"/>
  <c r="BG157" i="1" s="1"/>
  <c r="BA78" i="1"/>
  <c r="BA135" i="1" s="1"/>
  <c r="AW79" i="1"/>
  <c r="AW136" i="1" s="1"/>
  <c r="BH100" i="1"/>
  <c r="BH157" i="1" s="1"/>
  <c r="BB77" i="1"/>
  <c r="BB134" i="1" s="1"/>
  <c r="BA77" i="1"/>
  <c r="BA134" i="1" s="1"/>
  <c r="AY77" i="1"/>
  <c r="AY134" i="1" s="1"/>
  <c r="AX77" i="1"/>
  <c r="AX134" i="1" s="1"/>
  <c r="AZ77" i="1"/>
  <c r="AZ134" i="1" s="1"/>
  <c r="AW77" i="1"/>
  <c r="AW134" i="1" s="1"/>
  <c r="BF100" i="1"/>
  <c r="BF157" i="1" s="1"/>
  <c r="AY79" i="1"/>
  <c r="AY136" i="1" s="1"/>
  <c r="BA87" i="1"/>
  <c r="BA144" i="1" s="1"/>
  <c r="AX87" i="1"/>
  <c r="AX144" i="1" s="1"/>
  <c r="BB87" i="1"/>
  <c r="BB144" i="1" s="1"/>
  <c r="AZ87" i="1"/>
  <c r="AZ144" i="1" s="1"/>
  <c r="AY87" i="1"/>
  <c r="AY144" i="1" s="1"/>
  <c r="AW87" i="1"/>
  <c r="AW144" i="1" s="1"/>
  <c r="I55" i="1"/>
  <c r="I112" i="1" s="1"/>
  <c r="W100" i="1"/>
  <c r="W157" i="1" s="1"/>
  <c r="AZ79" i="1"/>
  <c r="AZ136" i="1" s="1"/>
  <c r="AX90" i="1"/>
  <c r="AX147" i="1" s="1"/>
  <c r="AW90" i="1"/>
  <c r="AW147" i="1" s="1"/>
  <c r="BA90" i="1"/>
  <c r="BA147" i="1" s="1"/>
  <c r="AY90" i="1"/>
  <c r="AY147" i="1" s="1"/>
  <c r="AZ90" i="1"/>
  <c r="AZ147" i="1" s="1"/>
  <c r="BB90" i="1"/>
  <c r="BB147" i="1" s="1"/>
  <c r="V101" i="1"/>
  <c r="V158" i="1" s="1"/>
  <c r="Y78" i="1"/>
  <c r="Y135" i="1" s="1"/>
  <c r="AJ91" i="1"/>
  <c r="AJ148" i="1" s="1"/>
  <c r="AW54" i="1"/>
  <c r="AW111" i="1" s="1"/>
  <c r="AW101" i="1"/>
  <c r="AW158" i="1" s="1"/>
  <c r="W101" i="1"/>
  <c r="W158" i="1" s="1"/>
  <c r="AA78" i="1"/>
  <c r="AA135" i="1" s="1"/>
  <c r="AE91" i="1"/>
  <c r="AE148" i="1" s="1"/>
  <c r="BB78" i="1"/>
  <c r="BB135" i="1" s="1"/>
  <c r="AW78" i="1"/>
  <c r="AW135" i="1" s="1"/>
  <c r="F78" i="1"/>
  <c r="F135" i="1" s="1"/>
  <c r="X101" i="1"/>
  <c r="X158" i="1" s="1"/>
  <c r="Z78" i="1"/>
  <c r="Z135" i="1" s="1"/>
  <c r="AF91" i="1"/>
  <c r="AF148" i="1" s="1"/>
  <c r="AY101" i="1"/>
  <c r="AY158" i="1" s="1"/>
  <c r="W78" i="1"/>
  <c r="W135" i="1" s="1"/>
  <c r="AG91" i="1"/>
  <c r="AG148" i="1" s="1"/>
  <c r="Y101" i="1"/>
  <c r="Y158" i="1" s="1"/>
  <c r="F67" i="1"/>
  <c r="F124" i="1" s="1"/>
  <c r="BK100" i="1"/>
  <c r="BK157" i="1" s="1"/>
  <c r="D99" i="1"/>
  <c r="D156" i="1" s="1"/>
  <c r="H100" i="1"/>
  <c r="H157" i="1" s="1"/>
  <c r="P113" i="1"/>
  <c r="V91" i="1"/>
  <c r="V148" i="1" s="1"/>
  <c r="Y80" i="1"/>
  <c r="Y137" i="1" s="1"/>
  <c r="BA57" i="1"/>
  <c r="BA114" i="1" s="1"/>
  <c r="BI76" i="1"/>
  <c r="BI133" i="1" s="1"/>
  <c r="Z80" i="1"/>
  <c r="Z137" i="1" s="1"/>
  <c r="E99" i="1"/>
  <c r="E156" i="1" s="1"/>
  <c r="F99" i="1"/>
  <c r="F156" i="1" s="1"/>
  <c r="E102" i="1"/>
  <c r="E159" i="1" s="1"/>
  <c r="X91" i="1"/>
  <c r="X148" i="1" s="1"/>
  <c r="W80" i="1"/>
  <c r="W137" i="1" s="1"/>
  <c r="BF67" i="1"/>
  <c r="BF124" i="1" s="1"/>
  <c r="BK66" i="1"/>
  <c r="BK123" i="1" s="1"/>
  <c r="BJ88" i="1"/>
  <c r="BJ145" i="1" s="1"/>
  <c r="AW100" i="1"/>
  <c r="AW157" i="1" s="1"/>
  <c r="BB100" i="1"/>
  <c r="BB157" i="1" s="1"/>
  <c r="X100" i="1"/>
  <c r="X157" i="1" s="1"/>
  <c r="G99" i="1"/>
  <c r="G156" i="1" s="1"/>
  <c r="F102" i="1"/>
  <c r="F159" i="1" s="1"/>
  <c r="Y91" i="1"/>
  <c r="Y148" i="1" s="1"/>
  <c r="AA76" i="1"/>
  <c r="AA133" i="1" s="1"/>
  <c r="BG67" i="1"/>
  <c r="BG124" i="1" s="1"/>
  <c r="BJ66" i="1"/>
  <c r="BJ123" i="1" s="1"/>
  <c r="BF88" i="1"/>
  <c r="BF145" i="1" s="1"/>
  <c r="W91" i="1"/>
  <c r="W148" i="1" s="1"/>
  <c r="H99" i="1"/>
  <c r="H156" i="1" s="1"/>
  <c r="G102" i="1"/>
  <c r="G159" i="1" s="1"/>
  <c r="Z91" i="1"/>
  <c r="Z148" i="1" s="1"/>
  <c r="V76" i="1"/>
  <c r="V133" i="1" s="1"/>
  <c r="BH67" i="1"/>
  <c r="BH124" i="1" s="1"/>
  <c r="BF66" i="1"/>
  <c r="BF123" i="1" s="1"/>
  <c r="W76" i="1"/>
  <c r="W133" i="1" s="1"/>
  <c r="BG66" i="1"/>
  <c r="BG123" i="1" s="1"/>
  <c r="AZ100" i="1"/>
  <c r="AZ157" i="1" s="1"/>
  <c r="D55" i="1"/>
  <c r="D112" i="1" s="1"/>
  <c r="E55" i="1"/>
  <c r="E112" i="1" s="1"/>
  <c r="AA100" i="1"/>
  <c r="AA157" i="1" s="1"/>
  <c r="V99" i="1"/>
  <c r="V156" i="1" s="1"/>
  <c r="X76" i="1"/>
  <c r="X133" i="1" s="1"/>
  <c r="BH66" i="1"/>
  <c r="BH123" i="1" s="1"/>
  <c r="AX100" i="1"/>
  <c r="AX157" i="1" s="1"/>
  <c r="BA102" i="1"/>
  <c r="BA159" i="1" s="1"/>
  <c r="BB102" i="1"/>
  <c r="BB159" i="1" s="1"/>
  <c r="AY102" i="1"/>
  <c r="AY159" i="1" s="1"/>
  <c r="AZ102" i="1"/>
  <c r="AZ159" i="1" s="1"/>
  <c r="Y76" i="1"/>
  <c r="Y133" i="1" s="1"/>
  <c r="BA100" i="1"/>
  <c r="BA157" i="1" s="1"/>
  <c r="G55" i="1"/>
  <c r="G112" i="1" s="1"/>
  <c r="AY100" i="1"/>
  <c r="AY157" i="1" s="1"/>
  <c r="Y100" i="1"/>
  <c r="Y157" i="1" s="1"/>
  <c r="P89" i="1"/>
  <c r="P146" i="1" s="1"/>
  <c r="X79" i="1"/>
  <c r="X136" i="1" s="1"/>
  <c r="H98" i="1"/>
  <c r="H155" i="1" s="1"/>
  <c r="R89" i="1"/>
  <c r="R146" i="1" s="1"/>
  <c r="BA54" i="1"/>
  <c r="BA111" i="1" s="1"/>
  <c r="AG57" i="1"/>
  <c r="AG114" i="1" s="1"/>
  <c r="AI57" i="1"/>
  <c r="AI114" i="1" s="1"/>
  <c r="AH57" i="1"/>
  <c r="AH114" i="1" s="1"/>
  <c r="AJ57" i="1"/>
  <c r="AJ114" i="1" s="1"/>
  <c r="AF57" i="1"/>
  <c r="AF114" i="1" s="1"/>
  <c r="AE57" i="1"/>
  <c r="AE114" i="1" s="1"/>
  <c r="BK87" i="1"/>
  <c r="BK144" i="1" s="1"/>
  <c r="BJ87" i="1"/>
  <c r="BJ144" i="1" s="1"/>
  <c r="BG87" i="1"/>
  <c r="BG144" i="1" s="1"/>
  <c r="BI87" i="1"/>
  <c r="BI144" i="1" s="1"/>
  <c r="BH87" i="1"/>
  <c r="BH144" i="1" s="1"/>
  <c r="BF87" i="1"/>
  <c r="BF144" i="1" s="1"/>
  <c r="AH66" i="1"/>
  <c r="AH123" i="1" s="1"/>
  <c r="AF66" i="1"/>
  <c r="AF123" i="1" s="1"/>
  <c r="AG66" i="1"/>
  <c r="AG123" i="1" s="1"/>
  <c r="AE66" i="1"/>
  <c r="AE123" i="1" s="1"/>
  <c r="AJ66" i="1"/>
  <c r="AJ123" i="1" s="1"/>
  <c r="AI66" i="1"/>
  <c r="AI123" i="1" s="1"/>
  <c r="H66" i="1"/>
  <c r="H123" i="1" s="1"/>
  <c r="I101" i="1"/>
  <c r="I158" i="1" s="1"/>
  <c r="F100" i="1"/>
  <c r="F157" i="1" s="1"/>
  <c r="N115" i="1"/>
  <c r="X80" i="1"/>
  <c r="X137" i="1" s="1"/>
  <c r="V79" i="1"/>
  <c r="V136" i="1" s="1"/>
  <c r="BK88" i="1"/>
  <c r="BK145" i="1" s="1"/>
  <c r="AJ87" i="1"/>
  <c r="AJ144" i="1" s="1"/>
  <c r="AH87" i="1"/>
  <c r="AH144" i="1" s="1"/>
  <c r="AG87" i="1"/>
  <c r="AG144" i="1" s="1"/>
  <c r="AE87" i="1"/>
  <c r="AE144" i="1" s="1"/>
  <c r="AI87" i="1"/>
  <c r="AI144" i="1" s="1"/>
  <c r="AF87" i="1"/>
  <c r="AF144" i="1" s="1"/>
  <c r="AF68" i="1"/>
  <c r="AF125" i="1" s="1"/>
  <c r="AH68" i="1"/>
  <c r="AH125" i="1" s="1"/>
  <c r="AJ68" i="1"/>
  <c r="AJ125" i="1" s="1"/>
  <c r="AG68" i="1"/>
  <c r="AG125" i="1" s="1"/>
  <c r="AI68" i="1"/>
  <c r="AI125" i="1" s="1"/>
  <c r="AE68" i="1"/>
  <c r="AE125" i="1" s="1"/>
  <c r="N90" i="1"/>
  <c r="N147" i="1" s="1"/>
  <c r="R90" i="1"/>
  <c r="R147" i="1" s="1"/>
  <c r="O90" i="1"/>
  <c r="O147" i="1" s="1"/>
  <c r="P90" i="1"/>
  <c r="P147" i="1" s="1"/>
  <c r="M90" i="1"/>
  <c r="M147" i="1" s="1"/>
  <c r="Q90" i="1"/>
  <c r="Q147" i="1" s="1"/>
  <c r="BH90" i="1"/>
  <c r="BH147" i="1" s="1"/>
  <c r="BI90" i="1"/>
  <c r="BI147" i="1" s="1"/>
  <c r="BG90" i="1"/>
  <c r="BG147" i="1" s="1"/>
  <c r="BF90" i="1"/>
  <c r="BF147" i="1" s="1"/>
  <c r="BK90" i="1"/>
  <c r="BK147" i="1" s="1"/>
  <c r="BJ90" i="1"/>
  <c r="BJ147" i="1" s="1"/>
  <c r="AH88" i="1"/>
  <c r="AH145" i="1" s="1"/>
  <c r="AF88" i="1"/>
  <c r="AF145" i="1" s="1"/>
  <c r="AJ88" i="1"/>
  <c r="AJ145" i="1" s="1"/>
  <c r="AI88" i="1"/>
  <c r="AI145" i="1" s="1"/>
  <c r="AE88" i="1"/>
  <c r="AE145" i="1" s="1"/>
  <c r="AG88" i="1"/>
  <c r="AG145" i="1" s="1"/>
  <c r="W90" i="1"/>
  <c r="W147" i="1" s="1"/>
  <c r="X90" i="1"/>
  <c r="X147" i="1" s="1"/>
  <c r="Z90" i="1"/>
  <c r="Z147" i="1" s="1"/>
  <c r="Y90" i="1"/>
  <c r="Y147" i="1" s="1"/>
  <c r="AA90" i="1"/>
  <c r="AA147" i="1" s="1"/>
  <c r="V90" i="1"/>
  <c r="V147" i="1" s="1"/>
  <c r="AI55" i="1"/>
  <c r="AI112" i="1" s="1"/>
  <c r="AJ55" i="1"/>
  <c r="AJ112" i="1" s="1"/>
  <c r="AH55" i="1"/>
  <c r="AH112" i="1" s="1"/>
  <c r="AE55" i="1"/>
  <c r="AE112" i="1" s="1"/>
  <c r="AG55" i="1"/>
  <c r="AG112" i="1" s="1"/>
  <c r="AF55" i="1"/>
  <c r="AF112" i="1" s="1"/>
  <c r="Q87" i="1"/>
  <c r="Q144" i="1" s="1"/>
  <c r="O87" i="1"/>
  <c r="O144" i="1" s="1"/>
  <c r="M87" i="1"/>
  <c r="M144" i="1" s="1"/>
  <c r="P87" i="1"/>
  <c r="P144" i="1" s="1"/>
  <c r="N87" i="1"/>
  <c r="N144" i="1" s="1"/>
  <c r="R87" i="1"/>
  <c r="R144" i="1" s="1"/>
  <c r="AI99" i="1"/>
  <c r="AI156" i="1" s="1"/>
  <c r="AJ99" i="1"/>
  <c r="AJ156" i="1" s="1"/>
  <c r="AF99" i="1"/>
  <c r="AF156" i="1" s="1"/>
  <c r="AG99" i="1"/>
  <c r="AG156" i="1" s="1"/>
  <c r="AE99" i="1"/>
  <c r="AE156" i="1" s="1"/>
  <c r="AH99" i="1"/>
  <c r="AH156" i="1" s="1"/>
  <c r="AF90" i="1"/>
  <c r="AF147" i="1" s="1"/>
  <c r="AI90" i="1"/>
  <c r="AI147" i="1" s="1"/>
  <c r="AE90" i="1"/>
  <c r="AE147" i="1" s="1"/>
  <c r="AJ90" i="1"/>
  <c r="AJ147" i="1" s="1"/>
  <c r="AH90" i="1"/>
  <c r="AH147" i="1" s="1"/>
  <c r="AG90" i="1"/>
  <c r="AG147" i="1" s="1"/>
  <c r="I100" i="1"/>
  <c r="I157" i="1" s="1"/>
  <c r="BG88" i="1"/>
  <c r="BG145" i="1" s="1"/>
  <c r="E67" i="1"/>
  <c r="E124" i="1" s="1"/>
  <c r="D91" i="1"/>
  <c r="D148" i="1" s="1"/>
  <c r="F101" i="1"/>
  <c r="F158" i="1" s="1"/>
  <c r="E100" i="1"/>
  <c r="E157" i="1" s="1"/>
  <c r="Q115" i="1"/>
  <c r="AA80" i="1"/>
  <c r="AA137" i="1" s="1"/>
  <c r="W79" i="1"/>
  <c r="W136" i="1" s="1"/>
  <c r="BH88" i="1"/>
  <c r="BH145" i="1" s="1"/>
  <c r="AA87" i="1"/>
  <c r="AA144" i="1" s="1"/>
  <c r="Y87" i="1"/>
  <c r="Y144" i="1" s="1"/>
  <c r="Z87" i="1"/>
  <c r="Z144" i="1" s="1"/>
  <c r="X87" i="1"/>
  <c r="X144" i="1" s="1"/>
  <c r="W87" i="1"/>
  <c r="W144" i="1" s="1"/>
  <c r="V87" i="1"/>
  <c r="V144" i="1" s="1"/>
  <c r="AE58" i="1"/>
  <c r="AE115" i="1" s="1"/>
  <c r="AF58" i="1"/>
  <c r="AF115" i="1" s="1"/>
  <c r="AG58" i="1"/>
  <c r="AG115" i="1" s="1"/>
  <c r="AH58" i="1"/>
  <c r="AH115" i="1" s="1"/>
  <c r="AJ58" i="1"/>
  <c r="AJ115" i="1" s="1"/>
  <c r="AI58" i="1"/>
  <c r="AI115" i="1" s="1"/>
  <c r="Y66" i="1"/>
  <c r="Y123" i="1" s="1"/>
  <c r="Z66" i="1"/>
  <c r="Z123" i="1" s="1"/>
  <c r="X66" i="1"/>
  <c r="X123" i="1" s="1"/>
  <c r="V66" i="1"/>
  <c r="V123" i="1" s="1"/>
  <c r="W66" i="1"/>
  <c r="W123" i="1" s="1"/>
  <c r="AA66" i="1"/>
  <c r="AA123" i="1" s="1"/>
  <c r="BJ55" i="1"/>
  <c r="BJ112" i="1" s="1"/>
  <c r="BK55" i="1"/>
  <c r="BK112" i="1" s="1"/>
  <c r="BG55" i="1"/>
  <c r="BG112" i="1" s="1"/>
  <c r="BH55" i="1"/>
  <c r="BH112" i="1" s="1"/>
  <c r="BF55" i="1"/>
  <c r="BF112" i="1" s="1"/>
  <c r="BI55" i="1"/>
  <c r="BI112" i="1" s="1"/>
  <c r="G67" i="1"/>
  <c r="G124" i="1" s="1"/>
  <c r="G91" i="1"/>
  <c r="G148" i="1" s="1"/>
  <c r="H101" i="1"/>
  <c r="H158" i="1" s="1"/>
  <c r="Y88" i="1"/>
  <c r="Y145" i="1" s="1"/>
  <c r="Z88" i="1"/>
  <c r="Z145" i="1" s="1"/>
  <c r="W88" i="1"/>
  <c r="W145" i="1" s="1"/>
  <c r="AA88" i="1"/>
  <c r="AA145" i="1" s="1"/>
  <c r="X88" i="1"/>
  <c r="X145" i="1" s="1"/>
  <c r="V88" i="1"/>
  <c r="V145" i="1" s="1"/>
  <c r="AJ56" i="1"/>
  <c r="AJ113" i="1" s="1"/>
  <c r="AH56" i="1"/>
  <c r="AH113" i="1" s="1"/>
  <c r="AG56" i="1"/>
  <c r="AG113" i="1" s="1"/>
  <c r="AF56" i="1"/>
  <c r="AF113" i="1" s="1"/>
  <c r="AE56" i="1"/>
  <c r="AE113" i="1" s="1"/>
  <c r="AI56" i="1"/>
  <c r="AI113" i="1" s="1"/>
  <c r="W68" i="1"/>
  <c r="W125" i="1" s="1"/>
  <c r="X68" i="1"/>
  <c r="X125" i="1" s="1"/>
  <c r="Y68" i="1"/>
  <c r="Y125" i="1" s="1"/>
  <c r="AA68" i="1"/>
  <c r="AA125" i="1" s="1"/>
  <c r="V68" i="1"/>
  <c r="V125" i="1" s="1"/>
  <c r="Z68" i="1"/>
  <c r="Z125" i="1" s="1"/>
  <c r="AG100" i="1"/>
  <c r="AG157" i="1" s="1"/>
  <c r="AH100" i="1"/>
  <c r="AH157" i="1" s="1"/>
  <c r="AF100" i="1"/>
  <c r="AF157" i="1" s="1"/>
  <c r="AE100" i="1"/>
  <c r="AE157" i="1" s="1"/>
  <c r="AJ100" i="1"/>
  <c r="AJ157" i="1" s="1"/>
  <c r="AI100" i="1"/>
  <c r="AI157" i="1" s="1"/>
  <c r="Q65" i="1"/>
  <c r="Q122" i="1" s="1"/>
  <c r="R65" i="1"/>
  <c r="R122" i="1" s="1"/>
  <c r="N65" i="1"/>
  <c r="N122" i="1" s="1"/>
  <c r="M65" i="1"/>
  <c r="M122" i="1" s="1"/>
  <c r="P65" i="1"/>
  <c r="P122" i="1" s="1"/>
  <c r="O65" i="1"/>
  <c r="O122" i="1" s="1"/>
  <c r="BG68" i="1"/>
  <c r="BG125" i="1" s="1"/>
  <c r="BI68" i="1"/>
  <c r="BI125" i="1" s="1"/>
  <c r="BH68" i="1"/>
  <c r="BH125" i="1" s="1"/>
  <c r="BK68" i="1"/>
  <c r="BK125" i="1" s="1"/>
  <c r="BJ68" i="1"/>
  <c r="BJ125" i="1" s="1"/>
  <c r="BF68" i="1"/>
  <c r="BF125" i="1" s="1"/>
  <c r="BK99" i="1"/>
  <c r="BK156" i="1" s="1"/>
  <c r="BG99" i="1"/>
  <c r="BG156" i="1" s="1"/>
  <c r="BI99" i="1"/>
  <c r="BI156" i="1" s="1"/>
  <c r="BF99" i="1"/>
  <c r="BF156" i="1" s="1"/>
  <c r="BH99" i="1"/>
  <c r="BH156" i="1" s="1"/>
  <c r="BJ99" i="1"/>
  <c r="BJ156" i="1" s="1"/>
  <c r="AG79" i="1"/>
  <c r="AG136" i="1" s="1"/>
  <c r="AI79" i="1"/>
  <c r="AI136" i="1" s="1"/>
  <c r="AH79" i="1"/>
  <c r="AH136" i="1" s="1"/>
  <c r="AJ79" i="1"/>
  <c r="AJ136" i="1" s="1"/>
  <c r="AE79" i="1"/>
  <c r="AE136" i="1" s="1"/>
  <c r="AF79" i="1"/>
  <c r="AF136" i="1" s="1"/>
  <c r="I98" i="1"/>
  <c r="I155" i="1" s="1"/>
  <c r="N89" i="1"/>
  <c r="N146" i="1" s="1"/>
  <c r="BB54" i="1"/>
  <c r="BB111" i="1" s="1"/>
  <c r="AE102" i="1"/>
  <c r="AE159" i="1" s="1"/>
  <c r="AG102" i="1"/>
  <c r="AG159" i="1" s="1"/>
  <c r="AI102" i="1"/>
  <c r="AI159" i="1" s="1"/>
  <c r="AF102" i="1"/>
  <c r="AF159" i="1" s="1"/>
  <c r="AJ102" i="1"/>
  <c r="AJ159" i="1" s="1"/>
  <c r="AH102" i="1"/>
  <c r="AH159" i="1" s="1"/>
  <c r="N68" i="1"/>
  <c r="N125" i="1" s="1"/>
  <c r="M68" i="1"/>
  <c r="M125" i="1" s="1"/>
  <c r="R68" i="1"/>
  <c r="R125" i="1" s="1"/>
  <c r="Q68" i="1"/>
  <c r="Q125" i="1" s="1"/>
  <c r="P68" i="1"/>
  <c r="P125" i="1" s="1"/>
  <c r="O68" i="1"/>
  <c r="O125" i="1" s="1"/>
  <c r="AE80" i="1"/>
  <c r="AE137" i="1" s="1"/>
  <c r="AH80" i="1"/>
  <c r="AH137" i="1" s="1"/>
  <c r="AF80" i="1"/>
  <c r="AF137" i="1" s="1"/>
  <c r="AI80" i="1"/>
  <c r="AI137" i="1" s="1"/>
  <c r="AG80" i="1"/>
  <c r="AG137" i="1" s="1"/>
  <c r="AJ80" i="1"/>
  <c r="AJ137" i="1" s="1"/>
  <c r="AW58" i="1"/>
  <c r="AW115" i="1" s="1"/>
  <c r="AX58" i="1"/>
  <c r="AX115" i="1" s="1"/>
  <c r="AY58" i="1"/>
  <c r="AY115" i="1" s="1"/>
  <c r="AZ58" i="1"/>
  <c r="AZ115" i="1" s="1"/>
  <c r="BB58" i="1"/>
  <c r="BB115" i="1" s="1"/>
  <c r="BA58" i="1"/>
  <c r="BA115" i="1" s="1"/>
  <c r="R101" i="1"/>
  <c r="R158" i="1" s="1"/>
  <c r="N101" i="1"/>
  <c r="N158" i="1" s="1"/>
  <c r="Q101" i="1"/>
  <c r="Q158" i="1" s="1"/>
  <c r="O101" i="1"/>
  <c r="O158" i="1" s="1"/>
  <c r="P101" i="1"/>
  <c r="P158" i="1" s="1"/>
  <c r="M101" i="1"/>
  <c r="M158" i="1" s="1"/>
  <c r="AI77" i="1"/>
  <c r="AI134" i="1" s="1"/>
  <c r="AJ77" i="1"/>
  <c r="AJ134" i="1" s="1"/>
  <c r="AF77" i="1"/>
  <c r="AF134" i="1" s="1"/>
  <c r="AG77" i="1"/>
  <c r="AG134" i="1" s="1"/>
  <c r="AH77" i="1"/>
  <c r="AH134" i="1" s="1"/>
  <c r="AE77" i="1"/>
  <c r="AE134" i="1" s="1"/>
  <c r="BB55" i="1"/>
  <c r="BB112" i="1" s="1"/>
  <c r="BA55" i="1"/>
  <c r="BA112" i="1" s="1"/>
  <c r="AW55" i="1"/>
  <c r="AW112" i="1" s="1"/>
  <c r="AY55" i="1"/>
  <c r="AY112" i="1" s="1"/>
  <c r="AX55" i="1"/>
  <c r="AX112" i="1" s="1"/>
  <c r="AZ55" i="1"/>
  <c r="AZ112" i="1" s="1"/>
  <c r="AY54" i="1"/>
  <c r="AY111" i="1" s="1"/>
  <c r="AH54" i="1"/>
  <c r="AH111" i="1" s="1"/>
  <c r="AG54" i="1"/>
  <c r="AG111" i="1" s="1"/>
  <c r="AF54" i="1"/>
  <c r="AF111" i="1" s="1"/>
  <c r="AE54" i="1"/>
  <c r="AE111" i="1" s="1"/>
  <c r="AJ54" i="1"/>
  <c r="AJ111" i="1" s="1"/>
  <c r="AI54" i="1"/>
  <c r="AI111" i="1" s="1"/>
  <c r="Z65" i="1"/>
  <c r="Z122" i="1" s="1"/>
  <c r="X65" i="1"/>
  <c r="X122" i="1" s="1"/>
  <c r="Y65" i="1"/>
  <c r="Y122" i="1" s="1"/>
  <c r="W65" i="1"/>
  <c r="W122" i="1" s="1"/>
  <c r="V65" i="1"/>
  <c r="V122" i="1" s="1"/>
  <c r="AA65" i="1"/>
  <c r="AA122" i="1" s="1"/>
  <c r="AY56" i="1"/>
  <c r="AY113" i="1" s="1"/>
  <c r="BA56" i="1"/>
  <c r="BA113" i="1" s="1"/>
  <c r="AZ56" i="1"/>
  <c r="AZ113" i="1" s="1"/>
  <c r="AX56" i="1"/>
  <c r="AX113" i="1" s="1"/>
  <c r="BB56" i="1"/>
  <c r="BB113" i="1" s="1"/>
  <c r="AW56" i="1"/>
  <c r="AW113" i="1" s="1"/>
  <c r="AJ65" i="1"/>
  <c r="AJ122" i="1" s="1"/>
  <c r="AI65" i="1"/>
  <c r="AI122" i="1" s="1"/>
  <c r="AF65" i="1"/>
  <c r="AF122" i="1" s="1"/>
  <c r="AH65" i="1"/>
  <c r="AH122" i="1" s="1"/>
  <c r="AG65" i="1"/>
  <c r="AG122" i="1" s="1"/>
  <c r="AE65" i="1"/>
  <c r="AE122" i="1" s="1"/>
  <c r="AG101" i="1"/>
  <c r="AG158" i="1" s="1"/>
  <c r="AJ101" i="1"/>
  <c r="AJ158" i="1" s="1"/>
  <c r="AI101" i="1"/>
  <c r="AI158" i="1" s="1"/>
  <c r="AH101" i="1"/>
  <c r="AH158" i="1" s="1"/>
  <c r="AE101" i="1"/>
  <c r="AE158" i="1" s="1"/>
  <c r="AF101" i="1"/>
  <c r="AF158" i="1" s="1"/>
  <c r="AI78" i="1"/>
  <c r="AI135" i="1" s="1"/>
  <c r="AH78" i="1"/>
  <c r="AH135" i="1" s="1"/>
  <c r="AG78" i="1"/>
  <c r="AG135" i="1" s="1"/>
  <c r="AF78" i="1"/>
  <c r="AF135" i="1" s="1"/>
  <c r="AE78" i="1"/>
  <c r="AE135" i="1" s="1"/>
  <c r="AJ78" i="1"/>
  <c r="AJ135" i="1" s="1"/>
  <c r="F87" i="1"/>
  <c r="F144" i="1" s="1"/>
  <c r="D87" i="1"/>
  <c r="D144" i="1" s="1"/>
  <c r="H91" i="1"/>
  <c r="H148" i="1" s="1"/>
  <c r="E91" i="1"/>
  <c r="E148" i="1" s="1"/>
  <c r="I87" i="1"/>
  <c r="I144" i="1" s="1"/>
  <c r="G87" i="1"/>
  <c r="G144" i="1" s="1"/>
  <c r="E87" i="1"/>
  <c r="E144" i="1" s="1"/>
  <c r="G89" i="1"/>
  <c r="G146" i="1" s="1"/>
  <c r="F91" i="1"/>
  <c r="F148" i="1" s="1"/>
  <c r="H89" i="1"/>
  <c r="H146" i="1" s="1"/>
  <c r="E89" i="1"/>
  <c r="E146" i="1" s="1"/>
  <c r="I89" i="1"/>
  <c r="I146" i="1" s="1"/>
  <c r="F89" i="1"/>
  <c r="F146" i="1" s="1"/>
  <c r="BT78" i="1" l="1"/>
  <c r="BT135" i="1" s="1"/>
  <c r="BS78" i="1"/>
  <c r="BS135" i="1" s="1"/>
  <c r="BR78" i="1"/>
  <c r="BR135" i="1" s="1"/>
  <c r="BP78" i="1"/>
  <c r="BP135" i="1" s="1"/>
  <c r="BO78" i="1"/>
  <c r="BO135" i="1" s="1"/>
  <c r="BQ78" i="1"/>
  <c r="BQ135" i="1" s="1"/>
  <c r="BN135" i="1"/>
  <c r="BT87" i="1"/>
  <c r="BT144" i="1" s="1"/>
  <c r="BR87" i="1"/>
  <c r="BR144" i="1" s="1"/>
  <c r="BN144" i="1"/>
  <c r="BQ87" i="1"/>
  <c r="BQ144" i="1" s="1"/>
  <c r="BS87" i="1"/>
  <c r="BS144" i="1" s="1"/>
  <c r="BO87" i="1"/>
  <c r="BO144" i="1" s="1"/>
  <c r="BP87" i="1"/>
  <c r="BP144" i="1" s="1"/>
  <c r="BN124" i="1"/>
  <c r="BT67" i="1"/>
  <c r="BT124" i="1" s="1"/>
  <c r="BS67" i="1"/>
  <c r="BS124" i="1" s="1"/>
  <c r="BP67" i="1"/>
  <c r="BP124" i="1" s="1"/>
  <c r="BO67" i="1"/>
  <c r="BO124" i="1" s="1"/>
  <c r="BR67" i="1"/>
  <c r="BR124" i="1" s="1"/>
  <c r="BQ67" i="1"/>
  <c r="BQ124" i="1" s="1"/>
  <c r="BN133" i="1"/>
  <c r="BT76" i="1"/>
  <c r="BT133" i="1" s="1"/>
  <c r="BQ76" i="1"/>
  <c r="BQ133" i="1" s="1"/>
  <c r="BS76" i="1"/>
  <c r="BS133" i="1" s="1"/>
  <c r="BR76" i="1"/>
  <c r="BR133" i="1" s="1"/>
  <c r="BP76" i="1"/>
  <c r="BP133" i="1" s="1"/>
  <c r="BO76" i="1"/>
  <c r="BO133" i="1" s="1"/>
  <c r="BQ89" i="1"/>
  <c r="BQ146" i="1" s="1"/>
  <c r="BR89" i="1"/>
  <c r="BR146" i="1" s="1"/>
  <c r="BN146" i="1"/>
  <c r="BT89" i="1"/>
  <c r="BT146" i="1" s="1"/>
  <c r="BS89" i="1"/>
  <c r="BS146" i="1" s="1"/>
  <c r="BP89" i="1"/>
  <c r="BP146" i="1" s="1"/>
  <c r="BO89" i="1"/>
  <c r="BO146" i="1" s="1"/>
  <c r="BS65" i="1"/>
  <c r="BS122" i="1" s="1"/>
  <c r="BP65" i="1"/>
  <c r="BP122" i="1" s="1"/>
  <c r="BO65" i="1"/>
  <c r="BO122" i="1" s="1"/>
  <c r="BN122" i="1"/>
  <c r="BT65" i="1"/>
  <c r="BT122" i="1" s="1"/>
  <c r="BR65" i="1"/>
  <c r="BR122" i="1" s="1"/>
  <c r="BQ65" i="1"/>
  <c r="BQ122" i="1" s="1"/>
  <c r="BN159" i="1"/>
  <c r="BR102" i="1"/>
  <c r="BR159" i="1" s="1"/>
  <c r="BQ102" i="1"/>
  <c r="BQ159" i="1" s="1"/>
  <c r="BP102" i="1"/>
  <c r="BP159" i="1" s="1"/>
  <c r="BO102" i="1"/>
  <c r="BO159" i="1" s="1"/>
  <c r="BT102" i="1"/>
  <c r="BT159" i="1" s="1"/>
  <c r="BS102" i="1"/>
  <c r="BS159" i="1" s="1"/>
  <c r="BN113" i="1"/>
  <c r="BT56" i="1"/>
  <c r="BT113" i="1" s="1"/>
  <c r="BS56" i="1"/>
  <c r="BS113" i="1" s="1"/>
  <c r="BR56" i="1"/>
  <c r="BR113" i="1" s="1"/>
  <c r="BP56" i="1"/>
  <c r="BP113" i="1" s="1"/>
  <c r="BQ56" i="1"/>
  <c r="BQ113" i="1" s="1"/>
  <c r="BO56" i="1"/>
  <c r="BO113" i="1" s="1"/>
  <c r="BS54" i="1"/>
  <c r="BS111" i="1" s="1"/>
  <c r="BP54" i="1"/>
  <c r="BP111" i="1" s="1"/>
  <c r="BO54" i="1"/>
  <c r="BO111" i="1" s="1"/>
  <c r="BQ54" i="1"/>
  <c r="BQ111" i="1" s="1"/>
  <c r="BN111" i="1"/>
  <c r="BT54" i="1"/>
  <c r="BT111" i="1" s="1"/>
  <c r="BR54" i="1"/>
  <c r="BR111" i="1" s="1"/>
  <c r="BS90" i="1"/>
  <c r="BS147" i="1" s="1"/>
  <c r="BN147" i="1"/>
  <c r="BT90" i="1"/>
  <c r="BT147" i="1" s="1"/>
  <c r="BR90" i="1"/>
  <c r="BR147" i="1" s="1"/>
  <c r="BQ90" i="1"/>
  <c r="BQ147" i="1" s="1"/>
  <c r="BP90" i="1"/>
  <c r="BP147" i="1" s="1"/>
  <c r="BO90" i="1"/>
  <c r="BO147" i="1" s="1"/>
  <c r="BQ100" i="1"/>
  <c r="BQ157" i="1" s="1"/>
  <c r="BP100" i="1"/>
  <c r="BP157" i="1" s="1"/>
  <c r="BN157" i="1"/>
  <c r="BT100" i="1"/>
  <c r="BT157" i="1" s="1"/>
  <c r="BS100" i="1"/>
  <c r="BS157" i="1" s="1"/>
  <c r="BR100" i="1"/>
  <c r="BR157" i="1" s="1"/>
  <c r="BO100" i="1"/>
  <c r="BO157" i="1" s="1"/>
  <c r="BN123" i="1"/>
  <c r="BP66" i="1"/>
  <c r="BP123" i="1" s="1"/>
  <c r="BO66" i="1"/>
  <c r="BO123" i="1" s="1"/>
  <c r="BS66" i="1"/>
  <c r="BS123" i="1" s="1"/>
  <c r="BR66" i="1"/>
  <c r="BR123" i="1" s="1"/>
  <c r="BQ66" i="1"/>
  <c r="BQ123" i="1" s="1"/>
  <c r="BT66" i="1"/>
  <c r="BT123" i="1" s="1"/>
  <c r="BT80" i="1"/>
  <c r="BT137" i="1" s="1"/>
  <c r="BN137" i="1"/>
  <c r="BR80" i="1"/>
  <c r="BR137" i="1" s="1"/>
  <c r="BQ80" i="1"/>
  <c r="BQ137" i="1" s="1"/>
  <c r="BP80" i="1"/>
  <c r="BP137" i="1" s="1"/>
  <c r="BS80" i="1"/>
  <c r="BS137" i="1" s="1"/>
  <c r="BO80" i="1"/>
  <c r="BO137" i="1" s="1"/>
  <c r="BS68" i="1"/>
  <c r="BS125" i="1" s="1"/>
  <c r="BN125" i="1"/>
  <c r="BT68" i="1"/>
  <c r="BT125" i="1" s="1"/>
  <c r="BO68" i="1"/>
  <c r="BO125" i="1" s="1"/>
  <c r="BQ68" i="1"/>
  <c r="BQ125" i="1" s="1"/>
  <c r="BP68" i="1"/>
  <c r="BP125" i="1" s="1"/>
  <c r="BR68" i="1"/>
  <c r="BR125" i="1" s="1"/>
  <c r="BN145" i="1"/>
  <c r="BP88" i="1"/>
  <c r="BP145" i="1" s="1"/>
  <c r="BQ88" i="1"/>
  <c r="BQ145" i="1" s="1"/>
  <c r="BO88" i="1"/>
  <c r="BO145" i="1" s="1"/>
  <c r="BS88" i="1"/>
  <c r="BS145" i="1" s="1"/>
  <c r="BR88" i="1"/>
  <c r="BR145" i="1" s="1"/>
  <c r="BT88" i="1"/>
  <c r="BT145" i="1" s="1"/>
  <c r="BQ98" i="1"/>
  <c r="BQ155" i="1" s="1"/>
  <c r="BP98" i="1"/>
  <c r="BP155" i="1" s="1"/>
  <c r="BT98" i="1"/>
  <c r="BT155" i="1" s="1"/>
  <c r="BO98" i="1"/>
  <c r="BO155" i="1" s="1"/>
  <c r="BS98" i="1"/>
  <c r="BS155" i="1" s="1"/>
  <c r="BR98" i="1"/>
  <c r="BR155" i="1" s="1"/>
  <c r="BN155" i="1"/>
  <c r="BN115" i="1"/>
  <c r="BR58" i="1"/>
  <c r="BR115" i="1" s="1"/>
  <c r="BQ58" i="1"/>
  <c r="BQ115" i="1" s="1"/>
  <c r="BP58" i="1"/>
  <c r="BP115" i="1" s="1"/>
  <c r="BO58" i="1"/>
  <c r="BO115" i="1" s="1"/>
  <c r="BT58" i="1"/>
  <c r="BT115" i="1" s="1"/>
  <c r="BS58" i="1"/>
  <c r="BS115" i="1" s="1"/>
  <c r="BO91" i="1"/>
  <c r="BO148" i="1" s="1"/>
  <c r="BS91" i="1"/>
  <c r="BS148" i="1" s="1"/>
  <c r="BN148" i="1"/>
  <c r="BT91" i="1"/>
  <c r="BT148" i="1" s="1"/>
  <c r="BR91" i="1"/>
  <c r="BR148" i="1" s="1"/>
  <c r="BQ91" i="1"/>
  <c r="BQ148" i="1" s="1"/>
  <c r="BP91" i="1"/>
  <c r="BP148" i="1" s="1"/>
  <c r="BO69" i="1"/>
  <c r="BO126" i="1" s="1"/>
  <c r="BT69" i="1"/>
  <c r="BT126" i="1" s="1"/>
  <c r="BS69" i="1"/>
  <c r="BS126" i="1" s="1"/>
  <c r="BN126" i="1"/>
  <c r="BR69" i="1"/>
  <c r="BR126" i="1" s="1"/>
  <c r="BP69" i="1"/>
  <c r="BP126" i="1" s="1"/>
  <c r="BQ69" i="1"/>
  <c r="BQ126" i="1" s="1"/>
  <c r="BQ101" i="1"/>
  <c r="BQ158" i="1" s="1"/>
  <c r="BO101" i="1"/>
  <c r="BO158" i="1" s="1"/>
  <c r="BP101" i="1"/>
  <c r="BP158" i="1" s="1"/>
  <c r="BN158" i="1"/>
  <c r="BR101" i="1"/>
  <c r="BR158" i="1" s="1"/>
  <c r="BT101" i="1"/>
  <c r="BT158" i="1" s="1"/>
  <c r="BS101" i="1"/>
  <c r="BS158" i="1" s="1"/>
  <c r="BP79" i="1"/>
  <c r="BP136" i="1" s="1"/>
  <c r="BT79" i="1"/>
  <c r="BT136" i="1" s="1"/>
  <c r="BN136" i="1"/>
  <c r="BQ79" i="1"/>
  <c r="BQ136" i="1" s="1"/>
  <c r="BS79" i="1"/>
  <c r="BS136" i="1" s="1"/>
  <c r="BR79" i="1"/>
  <c r="BR136" i="1" s="1"/>
  <c r="BO79" i="1"/>
  <c r="BO136" i="1" s="1"/>
  <c r="BO57" i="1"/>
  <c r="BO114" i="1" s="1"/>
  <c r="BT57" i="1"/>
  <c r="BT114" i="1" s="1"/>
  <c r="BP57" i="1"/>
  <c r="BP114" i="1" s="1"/>
  <c r="BN114" i="1"/>
  <c r="BQ57" i="1"/>
  <c r="BQ114" i="1" s="1"/>
  <c r="BS57" i="1"/>
  <c r="BS114" i="1" s="1"/>
  <c r="BR57" i="1"/>
  <c r="BR114" i="1" s="1"/>
  <c r="BP99" i="1"/>
  <c r="BP156" i="1" s="1"/>
  <c r="BQ99" i="1"/>
  <c r="BQ156" i="1" s="1"/>
  <c r="BR99" i="1"/>
  <c r="BR156" i="1" s="1"/>
  <c r="BO99" i="1"/>
  <c r="BO156" i="1" s="1"/>
  <c r="BS99" i="1"/>
  <c r="BS156" i="1" s="1"/>
  <c r="BN156" i="1"/>
  <c r="BT99" i="1"/>
  <c r="BT156" i="1" s="1"/>
  <c r="BO77" i="1"/>
  <c r="BO134" i="1" s="1"/>
  <c r="BP77" i="1"/>
  <c r="BP134" i="1" s="1"/>
  <c r="BS77" i="1"/>
  <c r="BS134" i="1" s="1"/>
  <c r="BR77" i="1"/>
  <c r="BR134" i="1" s="1"/>
  <c r="BN134" i="1"/>
  <c r="BQ77" i="1"/>
  <c r="BQ134" i="1" s="1"/>
  <c r="BT77" i="1"/>
  <c r="BT134" i="1" s="1"/>
  <c r="BQ55" i="1"/>
  <c r="BQ112" i="1" s="1"/>
  <c r="BP55" i="1"/>
  <c r="BP112" i="1" s="1"/>
  <c r="BN112" i="1"/>
  <c r="BT55" i="1"/>
  <c r="BT112" i="1" s="1"/>
  <c r="BR55" i="1"/>
  <c r="BR112" i="1" s="1"/>
  <c r="BS55" i="1"/>
  <c r="BS112" i="1" s="1"/>
  <c r="BO55" i="1"/>
  <c r="BO112" i="1" s="1"/>
  <c r="AM115" i="1"/>
  <c r="AS58" i="1"/>
  <c r="AS115" i="1" s="1"/>
  <c r="AR58" i="1"/>
  <c r="AR115" i="1" s="1"/>
  <c r="AQ58" i="1"/>
  <c r="AQ115" i="1" s="1"/>
  <c r="AP58" i="1"/>
  <c r="AP115" i="1" s="1"/>
  <c r="AO58" i="1"/>
  <c r="AO115" i="1" s="1"/>
  <c r="AN58" i="1"/>
  <c r="AN115" i="1" s="1"/>
  <c r="AN102" i="1"/>
  <c r="AN159" i="1" s="1"/>
  <c r="AO102" i="1"/>
  <c r="AO159" i="1" s="1"/>
  <c r="AM159" i="1"/>
  <c r="AS102" i="1"/>
  <c r="AS159" i="1" s="1"/>
  <c r="AR102" i="1"/>
  <c r="AR159" i="1" s="1"/>
  <c r="AQ102" i="1"/>
  <c r="AQ159" i="1" s="1"/>
  <c r="AP102" i="1"/>
  <c r="AP159" i="1" s="1"/>
  <c r="AR87" i="1"/>
  <c r="AR144" i="1" s="1"/>
  <c r="AQ87" i="1"/>
  <c r="AQ144" i="1" s="1"/>
  <c r="AP87" i="1"/>
  <c r="AP144" i="1" s="1"/>
  <c r="AN87" i="1"/>
  <c r="AN144" i="1" s="1"/>
  <c r="AO87" i="1"/>
  <c r="AO144" i="1" s="1"/>
  <c r="AM144" i="1"/>
  <c r="AS87" i="1"/>
  <c r="AS144" i="1" s="1"/>
  <c r="AS65" i="1"/>
  <c r="AS122" i="1" s="1"/>
  <c r="AM122" i="1"/>
  <c r="AR65" i="1"/>
  <c r="AR122" i="1" s="1"/>
  <c r="AQ65" i="1"/>
  <c r="AQ122" i="1" s="1"/>
  <c r="AP65" i="1"/>
  <c r="AP122" i="1" s="1"/>
  <c r="AO65" i="1"/>
  <c r="AO122" i="1" s="1"/>
  <c r="AN65" i="1"/>
  <c r="AN122" i="1" s="1"/>
  <c r="AP89" i="1"/>
  <c r="AP146" i="1" s="1"/>
  <c r="AO89" i="1"/>
  <c r="AO146" i="1" s="1"/>
  <c r="AN89" i="1"/>
  <c r="AN146" i="1" s="1"/>
  <c r="AR89" i="1"/>
  <c r="AR146" i="1" s="1"/>
  <c r="AQ89" i="1"/>
  <c r="AQ146" i="1" s="1"/>
  <c r="AS89" i="1"/>
  <c r="AS146" i="1" s="1"/>
  <c r="AM146" i="1"/>
  <c r="AR78" i="1"/>
  <c r="AR135" i="1" s="1"/>
  <c r="AM135" i="1"/>
  <c r="AS78" i="1"/>
  <c r="AS135" i="1" s="1"/>
  <c r="AQ78" i="1"/>
  <c r="AQ135" i="1" s="1"/>
  <c r="AP78" i="1"/>
  <c r="AP135" i="1" s="1"/>
  <c r="AO78" i="1"/>
  <c r="AO135" i="1" s="1"/>
  <c r="AN78" i="1"/>
  <c r="AN135" i="1" s="1"/>
  <c r="AP67" i="1"/>
  <c r="AP124" i="1" s="1"/>
  <c r="AO67" i="1"/>
  <c r="AO124" i="1" s="1"/>
  <c r="AN67" i="1"/>
  <c r="AN124" i="1" s="1"/>
  <c r="AR67" i="1"/>
  <c r="AR124" i="1" s="1"/>
  <c r="AQ67" i="1"/>
  <c r="AQ124" i="1" s="1"/>
  <c r="AM124" i="1"/>
  <c r="AS67" i="1"/>
  <c r="AS124" i="1" s="1"/>
  <c r="AP90" i="1"/>
  <c r="AP147" i="1" s="1"/>
  <c r="AO90" i="1"/>
  <c r="AO147" i="1" s="1"/>
  <c r="AN90" i="1"/>
  <c r="AN147" i="1" s="1"/>
  <c r="AM147" i="1"/>
  <c r="AR90" i="1"/>
  <c r="AR147" i="1" s="1"/>
  <c r="AS90" i="1"/>
  <c r="AS147" i="1" s="1"/>
  <c r="AQ90" i="1"/>
  <c r="AQ147" i="1" s="1"/>
  <c r="AS100" i="1"/>
  <c r="AS157" i="1" s="1"/>
  <c r="AR100" i="1"/>
  <c r="AR157" i="1" s="1"/>
  <c r="AQ100" i="1"/>
  <c r="AQ157" i="1" s="1"/>
  <c r="AP100" i="1"/>
  <c r="AP157" i="1" s="1"/>
  <c r="AO100" i="1"/>
  <c r="AO157" i="1" s="1"/>
  <c r="AN100" i="1"/>
  <c r="AN157" i="1" s="1"/>
  <c r="AM157" i="1"/>
  <c r="AQ77" i="1"/>
  <c r="AQ134" i="1" s="1"/>
  <c r="AP77" i="1"/>
  <c r="AP134" i="1" s="1"/>
  <c r="AO77" i="1"/>
  <c r="AO134" i="1" s="1"/>
  <c r="AM134" i="1"/>
  <c r="AS77" i="1"/>
  <c r="AS134" i="1" s="1"/>
  <c r="AR77" i="1"/>
  <c r="AR134" i="1" s="1"/>
  <c r="AN77" i="1"/>
  <c r="AN134" i="1" s="1"/>
  <c r="AP69" i="1"/>
  <c r="AP126" i="1" s="1"/>
  <c r="AO69" i="1"/>
  <c r="AO126" i="1" s="1"/>
  <c r="AN69" i="1"/>
  <c r="AN126" i="1" s="1"/>
  <c r="AM126" i="1"/>
  <c r="AQ69" i="1"/>
  <c r="AQ126" i="1" s="1"/>
  <c r="AR69" i="1"/>
  <c r="AR126" i="1" s="1"/>
  <c r="AS69" i="1"/>
  <c r="AS126" i="1" s="1"/>
  <c r="AS91" i="1"/>
  <c r="AS148" i="1" s="1"/>
  <c r="AP91" i="1"/>
  <c r="AP148" i="1" s="1"/>
  <c r="AO91" i="1"/>
  <c r="AO148" i="1" s="1"/>
  <c r="AN91" i="1"/>
  <c r="AN148" i="1" s="1"/>
  <c r="AQ91" i="1"/>
  <c r="AQ148" i="1" s="1"/>
  <c r="AR91" i="1"/>
  <c r="AR148" i="1" s="1"/>
  <c r="AM148" i="1"/>
  <c r="AO68" i="1"/>
  <c r="AO125" i="1" s="1"/>
  <c r="AM125" i="1"/>
  <c r="AS68" i="1"/>
  <c r="AS125" i="1" s="1"/>
  <c r="AR68" i="1"/>
  <c r="AR125" i="1" s="1"/>
  <c r="AQ68" i="1"/>
  <c r="AQ125" i="1" s="1"/>
  <c r="AN68" i="1"/>
  <c r="AN125" i="1" s="1"/>
  <c r="AP68" i="1"/>
  <c r="AP125" i="1" s="1"/>
  <c r="AP56" i="1"/>
  <c r="AP113" i="1" s="1"/>
  <c r="AO56" i="1"/>
  <c r="AO113" i="1" s="1"/>
  <c r="AN56" i="1"/>
  <c r="AN113" i="1" s="1"/>
  <c r="AQ56" i="1"/>
  <c r="AQ113" i="1" s="1"/>
  <c r="AM113" i="1"/>
  <c r="AS56" i="1"/>
  <c r="AS113" i="1" s="1"/>
  <c r="AR56" i="1"/>
  <c r="AR113" i="1" s="1"/>
  <c r="AM155" i="1"/>
  <c r="AO98" i="1"/>
  <c r="AO155" i="1" s="1"/>
  <c r="AP98" i="1"/>
  <c r="AP155" i="1" s="1"/>
  <c r="AN98" i="1"/>
  <c r="AN155" i="1" s="1"/>
  <c r="AS98" i="1"/>
  <c r="AS155" i="1" s="1"/>
  <c r="AQ98" i="1"/>
  <c r="AQ155" i="1" s="1"/>
  <c r="AR98" i="1"/>
  <c r="AR155" i="1" s="1"/>
  <c r="AS99" i="1"/>
  <c r="AS156" i="1" s="1"/>
  <c r="AN99" i="1"/>
  <c r="AN156" i="1" s="1"/>
  <c r="AM156" i="1"/>
  <c r="AR99" i="1"/>
  <c r="AR156" i="1" s="1"/>
  <c r="AO99" i="1"/>
  <c r="AO156" i="1" s="1"/>
  <c r="AQ99" i="1"/>
  <c r="AQ156" i="1" s="1"/>
  <c r="AP99" i="1"/>
  <c r="AP156" i="1" s="1"/>
  <c r="AM111" i="1"/>
  <c r="AS54" i="1"/>
  <c r="AS111" i="1" s="1"/>
  <c r="AP54" i="1"/>
  <c r="AP111" i="1" s="1"/>
  <c r="AO54" i="1"/>
  <c r="AO111" i="1" s="1"/>
  <c r="AN54" i="1"/>
  <c r="AN111" i="1" s="1"/>
  <c r="AQ54" i="1"/>
  <c r="AQ111" i="1" s="1"/>
  <c r="AR54" i="1"/>
  <c r="AR111" i="1" s="1"/>
  <c r="AM133" i="1"/>
  <c r="AN76" i="1"/>
  <c r="AN133" i="1" s="1"/>
  <c r="AP76" i="1"/>
  <c r="AP133" i="1" s="1"/>
  <c r="AR76" i="1"/>
  <c r="AR133" i="1" s="1"/>
  <c r="AS76" i="1"/>
  <c r="AS133" i="1" s="1"/>
  <c r="AO76" i="1"/>
  <c r="AO133" i="1" s="1"/>
  <c r="AQ76" i="1"/>
  <c r="AQ133" i="1" s="1"/>
  <c r="AM123" i="1"/>
  <c r="AR66" i="1"/>
  <c r="AR123" i="1" s="1"/>
  <c r="AN66" i="1"/>
  <c r="AN123" i="1" s="1"/>
  <c r="AP66" i="1"/>
  <c r="AP123" i="1" s="1"/>
  <c r="AQ66" i="1"/>
  <c r="AQ123" i="1" s="1"/>
  <c r="AS66" i="1"/>
  <c r="AS123" i="1" s="1"/>
  <c r="AO66" i="1"/>
  <c r="AO123" i="1" s="1"/>
  <c r="AM145" i="1"/>
  <c r="AN88" i="1"/>
  <c r="AN145" i="1" s="1"/>
  <c r="AO88" i="1"/>
  <c r="AO145" i="1" s="1"/>
  <c r="AP88" i="1"/>
  <c r="AP145" i="1" s="1"/>
  <c r="AS88" i="1"/>
  <c r="AS145" i="1" s="1"/>
  <c r="AQ88" i="1"/>
  <c r="AQ145" i="1" s="1"/>
  <c r="AR88" i="1"/>
  <c r="AR145" i="1" s="1"/>
  <c r="AN55" i="1"/>
  <c r="AN112" i="1" s="1"/>
  <c r="AS55" i="1"/>
  <c r="AS112" i="1" s="1"/>
  <c r="AQ55" i="1"/>
  <c r="AQ112" i="1" s="1"/>
  <c r="AP55" i="1"/>
  <c r="AP112" i="1" s="1"/>
  <c r="AM112" i="1"/>
  <c r="AR55" i="1"/>
  <c r="AR112" i="1" s="1"/>
  <c r="AO55" i="1"/>
  <c r="AO112" i="1" s="1"/>
  <c r="AR80" i="1"/>
  <c r="AR137" i="1" s="1"/>
  <c r="AP80" i="1"/>
  <c r="AP137" i="1" s="1"/>
  <c r="AQ80" i="1"/>
  <c r="AQ137" i="1" s="1"/>
  <c r="AO80" i="1"/>
  <c r="AO137" i="1" s="1"/>
  <c r="AN80" i="1"/>
  <c r="AN137" i="1" s="1"/>
  <c r="AM137" i="1"/>
  <c r="AS80" i="1"/>
  <c r="AS137" i="1" s="1"/>
  <c r="AO57" i="1"/>
  <c r="AO114" i="1" s="1"/>
  <c r="AN57" i="1"/>
  <c r="AN114" i="1" s="1"/>
  <c r="AQ57" i="1"/>
  <c r="AQ114" i="1" s="1"/>
  <c r="AP57" i="1"/>
  <c r="AP114" i="1" s="1"/>
  <c r="AR57" i="1"/>
  <c r="AR114" i="1" s="1"/>
  <c r="AM114" i="1"/>
  <c r="AS57" i="1"/>
  <c r="AS114" i="1" s="1"/>
  <c r="AO101" i="1"/>
  <c r="AO158" i="1" s="1"/>
  <c r="AP101" i="1"/>
  <c r="AP158" i="1" s="1"/>
  <c r="AN101" i="1"/>
  <c r="AN158" i="1" s="1"/>
  <c r="AQ101" i="1"/>
  <c r="AQ158" i="1" s="1"/>
  <c r="AM158" i="1"/>
  <c r="AS101" i="1"/>
  <c r="AS158" i="1" s="1"/>
  <c r="AR101" i="1"/>
  <c r="AR158" i="1" s="1"/>
  <c r="AP79" i="1"/>
  <c r="AP136" i="1" s="1"/>
  <c r="AQ79" i="1"/>
  <c r="AQ136" i="1" s="1"/>
  <c r="AM136" i="1"/>
  <c r="AS79" i="1"/>
  <c r="AS136" i="1" s="1"/>
  <c r="AN79" i="1"/>
  <c r="AN136" i="1" s="1"/>
  <c r="AR79" i="1"/>
  <c r="AR136" i="1" s="1"/>
  <c r="AO79" i="1"/>
  <c r="AO136" i="1" s="1"/>
</calcChain>
</file>

<file path=xl/sharedStrings.xml><?xml version="1.0" encoding="utf-8"?>
<sst xmlns="http://schemas.openxmlformats.org/spreadsheetml/2006/main" count="2706" uniqueCount="339">
  <si>
    <t>Data and Assumptions</t>
  </si>
  <si>
    <t>Calculations</t>
  </si>
  <si>
    <t>Key</t>
  </si>
  <si>
    <t xml:space="preserve">  Conversion of Energy Input in (TWh of Diesel Equivalent) to Fuel Demand:</t>
  </si>
  <si>
    <t>Electricity Generation</t>
  </si>
  <si>
    <t>Land Transport</t>
  </si>
  <si>
    <t>Maritime Transport</t>
  </si>
  <si>
    <t>Aviation Transport</t>
  </si>
  <si>
    <t xml:space="preserve">  Conversion of Fuel Demand (Mtpa) to Fuel Demand (Glpa)</t>
  </si>
  <si>
    <t>Fuel</t>
  </si>
  <si>
    <t>Engine Efficiency (%)</t>
  </si>
  <si>
    <t>Energy Density (kWh/kg)</t>
  </si>
  <si>
    <t>Density (kg/L)</t>
  </si>
  <si>
    <t>Condition</t>
  </si>
  <si>
    <t>Diesel</t>
  </si>
  <si>
    <t>Liquid at STP</t>
  </si>
  <si>
    <t>Hydrogen</t>
  </si>
  <si>
    <t>Gas at 25C and 30 Mpa (300 bar)</t>
  </si>
  <si>
    <t>Ammonia</t>
  </si>
  <si>
    <t>Liquid at 25C and 20 bar</t>
  </si>
  <si>
    <t>Methanol</t>
  </si>
  <si>
    <t>Renewable Diesel</t>
  </si>
  <si>
    <t>SAF</t>
  </si>
  <si>
    <t>Sector</t>
  </si>
  <si>
    <t>Fossil Fuel Input (TWh)</t>
  </si>
  <si>
    <t>Fossil Fuel Output (TWh)</t>
  </si>
  <si>
    <t>Electricity generation</t>
  </si>
  <si>
    <t>Land transport</t>
  </si>
  <si>
    <t>Domestic maritime transport</t>
  </si>
  <si>
    <t>International maritime bunkering</t>
  </si>
  <si>
    <t>Domestic aviation transport</t>
  </si>
  <si>
    <t>Split</t>
  </si>
  <si>
    <t>International aviation bunkering</t>
  </si>
  <si>
    <t>Domestic</t>
  </si>
  <si>
    <t>International</t>
  </si>
  <si>
    <t>Sector Energy Requirements</t>
  </si>
  <si>
    <t>Fossil Fuel Input - Electricity Generation</t>
  </si>
  <si>
    <t>Fossil Fuel Input - Land Transport</t>
  </si>
  <si>
    <t>Fossil Fuel Input - Domestic Maritime Transport</t>
  </si>
  <si>
    <t>Fossil Fuel Input - International Maritime Bunkering</t>
  </si>
  <si>
    <t>Fossil Fuel Input - Combined Maritime Transport</t>
  </si>
  <si>
    <t>Fossil Fuel Input - Domestic Aviation Transport</t>
  </si>
  <si>
    <t>Fossil Fuel Input - International Aviation Bunkering</t>
  </si>
  <si>
    <t>Fossil Fuel Input - Combined Aviation Transport</t>
  </si>
  <si>
    <t>Scenario</t>
  </si>
  <si>
    <t>Energy Requirement (TWh/yr)</t>
  </si>
  <si>
    <t>Present (2024)</t>
  </si>
  <si>
    <t>1% inc. p.a.</t>
  </si>
  <si>
    <t>5% inc. p.a.</t>
  </si>
  <si>
    <t>5% of Energy Supply</t>
  </si>
  <si>
    <t>10% of Energy Supply</t>
  </si>
  <si>
    <t>25% of Energy Supply</t>
  </si>
  <si>
    <t>50% of Energy Supply</t>
  </si>
  <si>
    <t>75% of Energy Supply</t>
  </si>
  <si>
    <t>100% of Energy Supply</t>
  </si>
  <si>
    <t>Fuel Requirements (Mtpa)</t>
  </si>
  <si>
    <t>Hydrogen Demand</t>
  </si>
  <si>
    <t>Fuel Requirement (Mtpa)</t>
  </si>
  <si>
    <t>Ammonia Demand</t>
  </si>
  <si>
    <t>Methanol Demand</t>
  </si>
  <si>
    <t>Renewable Diesel Demand</t>
  </si>
  <si>
    <t>SAF Demand</t>
  </si>
  <si>
    <t>Fuel Requirements (GLpa)</t>
  </si>
  <si>
    <t>Fuel Requirement (Glpa)</t>
  </si>
  <si>
    <t>Electricity</t>
  </si>
  <si>
    <t>Parameter</t>
  </si>
  <si>
    <t>Value</t>
  </si>
  <si>
    <t>Unit</t>
  </si>
  <si>
    <t xml:space="preserve">Basis </t>
  </si>
  <si>
    <t>Across Sectors</t>
  </si>
  <si>
    <t>Low</t>
  </si>
  <si>
    <t>High</t>
  </si>
  <si>
    <t>Assumptions:</t>
  </si>
  <si>
    <t>Telecommunication Power Requirement</t>
  </si>
  <si>
    <t>1. FCEV Efficiencies:  Cars = 03120 km/kg , Buses = 14 km/kg (500 - 600 kms on a 40 kg/tank- [1]) and Trucks = 17 km/kg (400 - 1,200 on a 70 kg tank - [2])</t>
  </si>
  <si>
    <t>Average Capacity of Telecommunication Tower</t>
  </si>
  <si>
    <t>kW</t>
  </si>
  <si>
    <t> https://link.springer.com/article/10.1007/s10668-023-02917-7#Sec6</t>
  </si>
  <si>
    <t>[1] Ballard. Hydrogen Fueling for Fuel Cell Bus Fleets US Version; 2019. https://info.ballard.com/hubfs/Premium%20Content/Hydrogen%20Fueling%20for%20Fuel%20Cell%20Bus%20Fleets/WP-Ballard-Hydrogen-Refueling-for-Fuel-Cell-Bus-Fleets.pdf</t>
  </si>
  <si>
    <t>Average Utilisation</t>
  </si>
  <si>
    <t>Capacity factor of use</t>
  </si>
  <si>
    <t xml:space="preserve">[2] Transport and Environment. Comparison of Hydrogen and Battery Electric Trucks Methodology and Underlying Assumptions; 2020.https://www.transportenvironment.org/wp-content/uploads/2021/07/2020_06_TE_comparison_hydrogen_battery_electric_trucks_methodology.pdf </t>
  </si>
  <si>
    <t>Annual Consumption</t>
  </si>
  <si>
    <t>MWh/year</t>
  </si>
  <si>
    <t>Calculation:
10 kW x 8,760 hrs/yr *100% = 87,600 kWh/yr x 1 MWh/1000 kWh = 87.6 MWh/yr</t>
  </si>
  <si>
    <t>Fuel Cell Efficiency</t>
  </si>
  <si>
    <t>Efficiency</t>
  </si>
  <si>
    <t>%</t>
  </si>
  <si>
    <t>Fuel Cell Efficiency: 40% - 70%: https://www.plugpower.com/fuel-cell-power/fuel-cell-benefits</t>
  </si>
  <si>
    <t>Car</t>
  </si>
  <si>
    <t>-      MWh/yr</t>
  </si>
  <si>
    <t>Calculation:
(a) 88 MWh/yr x 1/40% = 220 MWh/yr
(b) 88 MWh/yr x 1/70% = 125 MWh/yr</t>
  </si>
  <si>
    <t>Average Engine Efficiency</t>
  </si>
  <si>
    <t>km/kg</t>
  </si>
  <si>
    <r>
      <t>Equivalent H</t>
    </r>
    <r>
      <rPr>
        <vertAlign val="subscript"/>
        <sz val="10"/>
        <rFont val="Aptos Narrow"/>
        <family val="2"/>
        <scheme val="minor"/>
      </rPr>
      <t>2</t>
    </r>
    <r>
      <rPr>
        <sz val="10"/>
        <rFont val="Aptos Narrow"/>
        <family val="2"/>
        <scheme val="minor"/>
      </rPr>
      <t xml:space="preserve"> Energy Input</t>
    </r>
  </si>
  <si>
    <t>kWh/kg</t>
  </si>
  <si>
    <r>
      <t>LHV of H</t>
    </r>
    <r>
      <rPr>
        <vertAlign val="subscript"/>
        <sz val="10"/>
        <rFont val="Aptos Narrow"/>
        <family val="2"/>
        <scheme val="minor"/>
      </rPr>
      <t xml:space="preserve">2 </t>
    </r>
    <r>
      <rPr>
        <sz val="10"/>
        <rFont val="Aptos Narrow"/>
        <family val="2"/>
        <scheme val="minor"/>
      </rPr>
      <t xml:space="preserve">= 33.33 kWh/kg of H2 </t>
    </r>
  </si>
  <si>
    <t>kg/km</t>
  </si>
  <si>
    <t>-      ton/yr</t>
  </si>
  <si>
    <r>
      <t xml:space="preserve"> ton of H</t>
    </r>
    <r>
      <rPr>
        <vertAlign val="subscript"/>
        <sz val="10"/>
        <rFont val="Aptos Narrow"/>
        <family val="2"/>
        <scheme val="minor"/>
      </rPr>
      <t>2</t>
    </r>
    <r>
      <rPr>
        <sz val="10"/>
        <rFont val="Aptos Narrow"/>
        <family val="2"/>
        <scheme val="minor"/>
      </rPr>
      <t>/yr</t>
    </r>
  </si>
  <si>
    <r>
      <t>Calculation:
(a) 125 MWh/yr x 1,000 kWh/MWh x 1/(33.33 kWh/kg) x 1 ton/1,000 kg = 4 ton of H2/yr
(b) 220 MWh/yr x 1,000 kWh/MWh x 1/(33.33 kWh/kg) x 1 ton/1,000 kg = 7 ton of H</t>
    </r>
    <r>
      <rPr>
        <vertAlign val="subscript"/>
        <sz val="10"/>
        <rFont val="Aptos Narrow"/>
        <family val="2"/>
        <scheme val="minor"/>
      </rPr>
      <t>2</t>
    </r>
    <r>
      <rPr>
        <sz val="10"/>
        <rFont val="Aptos Narrow"/>
        <family val="2"/>
        <scheme val="minor"/>
      </rPr>
      <t>/yr</t>
    </r>
  </si>
  <si>
    <t>Annual Mileage</t>
  </si>
  <si>
    <t>km/yr</t>
  </si>
  <si>
    <t>Resort</t>
  </si>
  <si>
    <t>Average Annual Fuel Consumption</t>
  </si>
  <si>
    <t>tpa</t>
  </si>
  <si>
    <t>Average Energy Consumption per room</t>
  </si>
  <si>
    <t>kW/day</t>
  </si>
  <si>
    <t>https://www.minionlabs.tech/energy-management-hotel-hospitality</t>
  </si>
  <si>
    <t>Bus</t>
  </si>
  <si>
    <t>Room per Resort</t>
  </si>
  <si>
    <t>Occupation Rate</t>
  </si>
  <si>
    <t>days/year</t>
  </si>
  <si>
    <t>Assumption</t>
  </si>
  <si>
    <t>Annual Energy Consumption</t>
  </si>
  <si>
    <t>Assuming an average occupation rate of 300 days per year
Thus:
(a) 50 kWh/day/room x 20 room x 300 days/year x 1 MWh/1,000 kWh = 300 MWh/yr
(b) 70 kWh/day/room x 20 room x 300 days/year x 1 MWh/1,000 kWh = 420 MWh/yr</t>
  </si>
  <si>
    <t>Trucks</t>
  </si>
  <si>
    <t>Calculation
(a) 300 MWh/yr x 1/70% = 430 MWh/yr
(b) 420 MWh/yr x 1/40% = 1,050 MWh/yr</t>
  </si>
  <si>
    <r>
      <t>Calculation:
(a) 430 MWh/yr x 1,000 kWh/MWh x 1/(33.33 kWh/kg) x 1 ton/1,000 kg = 13 ton of H</t>
    </r>
    <r>
      <rPr>
        <vertAlign val="subscript"/>
        <sz val="10"/>
        <rFont val="Aptos Narrow"/>
        <family val="2"/>
        <scheme val="minor"/>
      </rPr>
      <t>2</t>
    </r>
    <r>
      <rPr>
        <sz val="10"/>
        <rFont val="Aptos Narrow"/>
        <family val="2"/>
        <scheme val="minor"/>
      </rPr>
      <t>/yr
(b) 1,050 MWh/yr x 1,000 kWh/MWh x 1/(33.33 kWh/kg) x 1 ton/1,000 kg = 32 ton of H</t>
    </r>
    <r>
      <rPr>
        <vertAlign val="subscript"/>
        <sz val="10"/>
        <rFont val="Aptos Narrow"/>
        <family val="2"/>
        <scheme val="minor"/>
      </rPr>
      <t>2</t>
    </r>
    <r>
      <rPr>
        <sz val="10"/>
        <rFont val="Aptos Narrow"/>
        <family val="2"/>
        <scheme val="minor"/>
      </rPr>
      <t>/yr</t>
    </r>
  </si>
  <si>
    <t>Hospitals</t>
  </si>
  <si>
    <t>Average Energy Consumption</t>
  </si>
  <si>
    <t>kWh/yr/bed</t>
  </si>
  <si>
    <t>https://esource.bizenergyadvisor.com/article/hospitals</t>
  </si>
  <si>
    <t>Beds per Hospital</t>
  </si>
  <si>
    <t>beds/hospital</t>
  </si>
  <si>
    <t>Assumed</t>
  </si>
  <si>
    <t>Calculation:
- 30,000 kWh/year/bed/hospital x 50 bed/hospital x 1 MWh/1,000 kWh = 1,500 MWh/yr</t>
  </si>
  <si>
    <t>Calculation:
(a) 1,500 MWh/yr x 1/70% = 2,143 MWh/yr
(b) 1,500 MWh/yr x 1/40% = 3,750 MWh/yr</t>
  </si>
  <si>
    <r>
      <t>Calculation:
(a) 2,143 MWh/yr x 1,000 kWh/MWh x 1/(33.33 kWh/kg) x 1 ton/1,000 kg = 64 ton of H</t>
    </r>
    <r>
      <rPr>
        <vertAlign val="subscript"/>
        <sz val="10"/>
        <rFont val="Aptos Narrow"/>
        <family val="2"/>
        <scheme val="minor"/>
      </rPr>
      <t>2</t>
    </r>
    <r>
      <rPr>
        <sz val="10"/>
        <rFont val="Aptos Narrow"/>
        <family val="2"/>
        <scheme val="minor"/>
      </rPr>
      <t>/yr
(b) 3,750 MWh/yr x 1,000 kWh/MWh x 1/(33.33 kWh/kg) x 1 ton/1,000 kg = 113 ton of H</t>
    </r>
    <r>
      <rPr>
        <vertAlign val="subscript"/>
        <sz val="10"/>
        <rFont val="Aptos Narrow"/>
        <family val="2"/>
        <scheme val="minor"/>
      </rPr>
      <t>2</t>
    </r>
    <r>
      <rPr>
        <sz val="10"/>
        <rFont val="Aptos Narrow"/>
        <family val="2"/>
        <scheme val="minor"/>
      </rPr>
      <t>/yr</t>
    </r>
  </si>
  <si>
    <t>Off Grid Community</t>
  </si>
  <si>
    <t>MWh/yr/capita</t>
  </si>
  <si>
    <t>CEEM Report on Energy Statistics of the Pacific Island.
Data:
(a) Solomon Island: 0.01 MWh/yr/capita
(b) New Caledonia: 1.54 MWh/yr/capita</t>
  </si>
  <si>
    <t>Community Size</t>
  </si>
  <si>
    <t>Capita/Community</t>
  </si>
  <si>
    <t>Calculation:
(a) 0.01 MWh/yr/capita x 50 capita = 1 MWh/yr
(b) 1.54 MWh/yr/capita x 100 capita = 1 MWh/yr</t>
  </si>
  <si>
    <r>
      <t>Calculation:
(a) 1 MWh/yr x 1,000 kWh/MWh x 1/(33.33 kWh/kg) x 1 ton/1,000 kg = 0.02 ton of H</t>
    </r>
    <r>
      <rPr>
        <vertAlign val="subscript"/>
        <sz val="10"/>
        <rFont val="Aptos Narrow"/>
        <family val="2"/>
        <scheme val="minor"/>
      </rPr>
      <t>2</t>
    </r>
    <r>
      <rPr>
        <sz val="10"/>
        <rFont val="Aptos Narrow"/>
        <family val="2"/>
        <scheme val="minor"/>
      </rPr>
      <t>/yr
(b) 385 MWh/yr x 1,000 kWh/MWh x 1/(33.33 kWh/kg) x 1 ton/1,000 kg = 12 ton of H</t>
    </r>
    <r>
      <rPr>
        <vertAlign val="subscript"/>
        <sz val="10"/>
        <rFont val="Aptos Narrow"/>
        <family val="2"/>
        <scheme val="minor"/>
      </rPr>
      <t>2</t>
    </r>
    <r>
      <rPr>
        <sz val="10"/>
        <rFont val="Aptos Narrow"/>
        <family val="2"/>
        <scheme val="minor"/>
      </rPr>
      <t>/yr</t>
    </r>
  </si>
  <si>
    <t>Grid Supply</t>
  </si>
  <si>
    <t>MW</t>
  </si>
  <si>
    <t>Capacity Factor</t>
  </si>
  <si>
    <t>Calculation:
(a) 10 MW x 100% x 8760h/yr = 87,600 MWh/yr
(b) 100 MW x 100% x 8760h/yr = 876,000 MWh/yr</t>
  </si>
  <si>
    <t>Hydrogen Turbine</t>
  </si>
  <si>
    <t>Gas Turbines: 30% - 40%:
https://www.ge.com/content/dam/gepower/global/en_US/documents/fuel-flexibility/GEA33861%20Power%20to%20Gas%20-%20Hydrogen%20for%20Power%20Generation.pdf</t>
  </si>
  <si>
    <t>Calculation:
(a) 87,600 MWh/yr x 1/40% = 219,000 MWh/yr
(b) 876,000 MWh/yr x 1/30% = 2,920,000 MWh/yr</t>
  </si>
  <si>
    <r>
      <t xml:space="preserve"> kton of H</t>
    </r>
    <r>
      <rPr>
        <vertAlign val="subscript"/>
        <sz val="10"/>
        <rFont val="Aptos Narrow"/>
        <family val="2"/>
        <scheme val="minor"/>
      </rPr>
      <t>2</t>
    </r>
    <r>
      <rPr>
        <sz val="10"/>
        <rFont val="Aptos Narrow"/>
        <family val="2"/>
        <scheme val="minor"/>
      </rPr>
      <t>/yr</t>
    </r>
  </si>
  <si>
    <r>
      <t>Calculation:
(a) 219,000 MWh/yr x 1,000 kWh/MWh x 1/(33.33 kWh/kg) x 1 ton/1,000 kg = 64 ton of H</t>
    </r>
    <r>
      <rPr>
        <vertAlign val="subscript"/>
        <sz val="10"/>
        <rFont val="Aptos Narrow"/>
        <family val="2"/>
        <scheme val="minor"/>
      </rPr>
      <t>2</t>
    </r>
    <r>
      <rPr>
        <sz val="10"/>
        <rFont val="Aptos Narrow"/>
        <family val="2"/>
        <scheme val="minor"/>
      </rPr>
      <t>/yr
(b) 2,920,000 MWh/yr x 1,000 kWh/MWh x 1/(33.33 kWh/kg) x 1 ton/1,000 kg = 113 ton of H</t>
    </r>
    <r>
      <rPr>
        <vertAlign val="subscript"/>
        <sz val="10"/>
        <rFont val="Aptos Narrow"/>
        <family val="2"/>
        <scheme val="minor"/>
      </rPr>
      <t>2</t>
    </r>
    <r>
      <rPr>
        <sz val="10"/>
        <rFont val="Aptos Narrow"/>
        <family val="2"/>
        <scheme val="minor"/>
      </rPr>
      <t>/yr</t>
    </r>
  </si>
  <si>
    <t xml:space="preserve">Energy Density NH3 </t>
  </si>
  <si>
    <t>kwh/kg</t>
  </si>
  <si>
    <t>Engine Efficency</t>
  </si>
  <si>
    <t>30-40%</t>
  </si>
  <si>
    <t xml:space="preserve">Shipping </t>
  </si>
  <si>
    <t>Small Speed Boat</t>
  </si>
  <si>
    <t>Average Engine Capacity</t>
  </si>
  <si>
    <t>McCoy, Mike. "Safety at sea in Pacific Island fisheries." Suva: Food and Agriculture Oragnization/United Nations Development Programme Regional Fisheries Support Programme (1991).</t>
  </si>
  <si>
    <t>hrs/yr</t>
  </si>
  <si>
    <t>Assuming running 24/7</t>
  </si>
  <si>
    <t>Average Hours in Operation per Day</t>
  </si>
  <si>
    <t>hrs</t>
  </si>
  <si>
    <t>assumed</t>
  </si>
  <si>
    <t>MWh/yr</t>
  </si>
  <si>
    <t xml:space="preserve">Average Days in Operation per Annum </t>
  </si>
  <si>
    <t>days</t>
  </si>
  <si>
    <t xml:space="preserve">Suppy from generator </t>
  </si>
  <si>
    <t>Average Annual Operation</t>
  </si>
  <si>
    <t xml:space="preserve">Efficency NH3 Generator </t>
  </si>
  <si>
    <t>https://pubs.acs.org/doi/full/10.1021/acssuschemeng.7b02219</t>
  </si>
  <si>
    <t>Annual ammonia Consumption (for 10% fuel blend)</t>
  </si>
  <si>
    <t xml:space="preserve">Calculation:
(a) 4.5 kW x 1560h x 1/0.46 x 1/(5.22 kWh/kg) x 1 ton/1,000 kg x 10% 
(b) 20 kW x 4200h x 1/0.46 x 1/(5.22 kWh/kg) x 1 ton/1,000 kg x 10% </t>
  </si>
  <si>
    <t>10% NH3 Blend</t>
  </si>
  <si>
    <t>Annual ammonia Consumption (for 30% fuel blend)</t>
  </si>
  <si>
    <t xml:space="preserve">Calculation:
(a) 4.5 kW x 1560h x 1/0.46 x 1/(5.22 kWh/kg) x 1 ton/1,000 kg x 30% 
(b) 20 kW x 4200h x 1/0.46 x 1/(5.22 kWh/kg) x 1 ton/1,000 kg x 30% </t>
  </si>
  <si>
    <t xml:space="preserve">NH3 Demand (MWh) </t>
  </si>
  <si>
    <t>Calculation:
NH3 Demand (MWh/yr) = annual energy consumption / efficency NH3 Genertor x 10% 
(a) 8760 MWh/yr / 35% x 10%
(b) 4380000 MWh/yr / 60% x 10%</t>
  </si>
  <si>
    <t>Annual ammonia Consumption (for 100% fuel substitution)</t>
  </si>
  <si>
    <t xml:space="preserve">Calculation:
(a) 4.5 kW x 1560h x 1/0.46 x 1/(5.22 kWh/kg) x 1 ton/1,000 kg x 100% 
(b) 20 kW x 4200h x 1/0.46 x 1/(5.22 kWh/kg) x 1 ton/1,000 kg x 100% </t>
  </si>
  <si>
    <t xml:space="preserve">NH3 Energy Density </t>
  </si>
  <si>
    <t>MWh/kg</t>
  </si>
  <si>
    <t>Fishing Boat</t>
  </si>
  <si>
    <t xml:space="preserve">NH3 Demand (t) </t>
  </si>
  <si>
    <t xml:space="preserve">Calculation 
NH3 demand (tpa) = NH3 electricity demand (MWh/yr) x 1/energy density NH3 (MWh/kg) x (1 (t) / 10^3 (kg)) </t>
  </si>
  <si>
    <t xml:space="preserve"> 30% NH3 Blend</t>
  </si>
  <si>
    <t xml:space="preserve">Calculation:
(a) 20 kW x 1560h x 1/0.46 x 1/(5.22 kWh/kg) x 1 ton/1,000 kg x 10% 
(b) 55 kW x 4200h x 1/0.46 x 1/(5.22 kWh/kg) x 1 ton/1,000 kg x 10% </t>
  </si>
  <si>
    <t>100% NH3 substitution</t>
  </si>
  <si>
    <t xml:space="preserve">Calculation:
(a) 20 kW x 1560h x 1/0.46 x 1/(5.22 kWh/kg) x 1 ton/1,000 kg x 30% 
(b) 55 kW x 4200h x 1/0.46 x 1/(5.22 kWh/kg) x 1 ton/1,000 kg x 30% </t>
  </si>
  <si>
    <t xml:space="preserve">Calculation:
(a) 20 kW x 1560h x 1/0.46 x 1/(5.22 kWh/kg) x 1 ton/1,000 kg x 100% 
(b) 55 kW x 4200h x 1/0.46 x 1/(5.22 kWh/kg) x 1 ton/1,000 kg x 100% </t>
  </si>
  <si>
    <t>Passenger Ferry</t>
  </si>
  <si>
    <t>Operating with Ammonia Fuel Cell</t>
  </si>
  <si>
    <t xml:space="preserve">NH3 Demand </t>
  </si>
  <si>
    <t xml:space="preserve">Calculation:
(a) 800 kW x 1560h x 1/0.46 x 1/(5.22 kWh/kg) x 1 ton/1,000 kg x 10% 
(b) 6400 kW x 4200h x 1/0.46 x 1/(5.22 kWh/kg) x 1 ton/1,000 kg x 10% </t>
  </si>
  <si>
    <t xml:space="preserve">Calculation:
(a) 800 kW x 1560h x 1/0.46 x 1/(5.22 kWh/kg) x 1 ton/1,000 kg x 30% 
(b) 6400 kW x 4200h x 1/0.46 x 1/(5.22 kWh/kg) x 1 ton/1,000 kg x 30% </t>
  </si>
  <si>
    <t xml:space="preserve">Calculation:
(a) 800 kW x 1560h x 1/0.46 x 1/(5.22 kWh/kg) x 1 ton/1,000 kg x 100% 
(b) 6400 kW x 4200h x 1/0.46 x 1/(5.22 kWh/kg) x 1 ton/1,000 kg x 100% </t>
  </si>
  <si>
    <t xml:space="preserve">Freight Ship </t>
  </si>
  <si>
    <t>Cruise Liner</t>
  </si>
  <si>
    <t xml:space="preserve">Power Generation </t>
  </si>
  <si>
    <t>`</t>
  </si>
  <si>
    <t>1. For scenarios assuming electricity demand is supplied as electricity produced from large-scale diesel generators: Methanol is assumed to be used for 10% and 30% methanol blends or 100% methanol substitution. For the case of 10% and 30% methanol blends, engines are assumed to have equivalent efficiency to a diesel engine (40%). For 100% methanol substitution, a peak-load engine efficiency of 43% is assumed [1,2].  A mechanical to electrical energy conversion efficiency of 90% is assumed. [3]</t>
  </si>
  <si>
    <t>1. For scenarios assuming energy demand is met through 10% and 30% methanol blends, engines are assumed to have equivalent efficiency to petrol or diesel engine (35% and 40% respectively). For the scenarios where energy demand is met through 100% methanol, a peak-load engine efficiency of 43% is assumed. [1,2,3]</t>
  </si>
  <si>
    <t>1. For scenarios assuming energy demand is met through 10% and 30% methanol blends, engines are assumed to have equivalent efficiency to a diesel engine (40%). For the scenario where energy demand is met through 100% methanol, a peak-load engine efficiency of 43% is assumed [1,2]</t>
  </si>
  <si>
    <t>2. For scenarios assuming electricity demand is supplied from methanol fuel cells, a base fuel cell efficiency of 40% is assumed [4] and is compared to a fuel cell efficiency of 70% to account for technology improvements</t>
  </si>
  <si>
    <t>2. Petrol engines are assumed for motorcyles and cars; diesel engines are assumed for buses and trucks. An energy density of 9.62kWh/L and 10.6kWh/L are assumed for petrol and diesel respectively.</t>
  </si>
  <si>
    <t>[1] Verhelst, Sebastian, et al. "Methanol as a fuel for internal combustion engines." Progress in Energy and Combustion Science 70 (2019): 43-88.</t>
  </si>
  <si>
    <t>[2] Brusstar, Matthew, et al. "High efficiency and low emissions from a port-injected engine with neat alcohol fuels." SAE Transactions (2002): 1445-1451.</t>
  </si>
  <si>
    <t>Calculation:</t>
  </si>
  <si>
    <t>[3] Boldea, Ion. "Electric generators and motors: An overview." CES Transactions on Electrical Machines and Systems 1.1 (2017): 3-14.</t>
  </si>
  <si>
    <t>[3] Dahham, Rami Y., Haiqiao Wei, and Jiaying Pan. "Improving thermal efficiency of internal combustion engines: recent progress and remaining challenges." Energies 15.17 (2022): 6222.</t>
  </si>
  <si>
    <t>[4] Scott, Keith, and Lei Xing. "Direct methanol fuel cells." Advances in Chemical Engineering. Vol. 41. Academic Press, 2012. 145-196.</t>
  </si>
  <si>
    <t>Calculations:</t>
  </si>
  <si>
    <t>Motorbikes</t>
  </si>
  <si>
    <t>Annual Methanol Consumption (for 10% fuel blend)</t>
  </si>
  <si>
    <t xml:space="preserve">Calculation:
(a) 4.5 kW x 1560h x 1/0.40 x 1/(5.54 kWh/kg) x 1 ton/1,000 kg x 10% 
(b) 20 kW x 4200h x 1/0.40 x 1/(5.54 kWh/kg) x 1 ton/1,000 kg x 10% </t>
  </si>
  <si>
    <t>L/100km</t>
  </si>
  <si>
    <t>Grütter, Jürg M., and Ki-Joon Kim. "E-mobility options for ADB developing member countries." (2019).</t>
  </si>
  <si>
    <t>Annual Methanol Consumption (for 30% fuel blend)</t>
  </si>
  <si>
    <t xml:space="preserve">Calculation:
(a) 4.5 kW x 1560h x 1/0.40 x 1/(5.54 kWh/kg) x 1 ton/1,000 kg x 30% 
(b) 20 kW x 4200h x 1/0.40 x 1/(5.54 kWh/kg) x 1 ton/1,000 kg x 30% </t>
  </si>
  <si>
    <t>Annual Methanol Consumption (for 100% fuel substitution)</t>
  </si>
  <si>
    <t xml:space="preserve">Calculation:
(a) 4.5 kW x 1560h x 1/0.43 x 1/(5.54 kWh/kg) x 1 ton/1,000 kg x 100% 
(b) 20 kW x 4200h x 1/0.43 x 1/(5.54 kWh/kg) x 1 ton/1,000 kg x 100% </t>
  </si>
  <si>
    <t>Calculation:
10 kW x 8,760 hrs/yr x 100% = 87,600 kWh/yr x 1 MWh/1000 kWh = 87.6 MWh/yr</t>
  </si>
  <si>
    <t>L</t>
  </si>
  <si>
    <t xml:space="preserve">Fishing Boat </t>
  </si>
  <si>
    <t>Operating with Diesel Generator with 10% Blend</t>
  </si>
  <si>
    <t xml:space="preserve">Calculation:
(a) 140L x 9.62kWh/L x 1/(5.54 kWh/kg) x 1 ton/1,000 kg x 10% 
(b) 945L x 9.62kWh/L x 1/(5.54 kWh/kg) x 1 ton/1,000 kg x 10% </t>
  </si>
  <si>
    <t>Methanol Requirement</t>
  </si>
  <si>
    <t>Calculation:
a) 87.60 MWh/yr x (1/0.4)x (1/0.9)x(10^3 kWh/1 MWh)x(1kg/5.54kWh)x(1ton/10^3kg)x10% = 4.39 tpa</t>
  </si>
  <si>
    <t xml:space="preserve">Calculation:
(a) 140L x 9.62kWh/L x 1/(5.54 kWh/kg) x 1 ton/1,000 kg x 30% 
(b) 945L x 9.62kWh/L x 1/(5.54 kWh/kg) x 1 ton/1,000 kg x 30% </t>
  </si>
  <si>
    <t>Operating with Diesel Generator with 30% Blend</t>
  </si>
  <si>
    <t xml:space="preserve">Calculation:
(a) 140L x 9.62kWh/L x 0.35/0.43 x 1/(5.54 kWh/kg) x 1 ton/1,000 kg x 100% 
(b) 945L x 9.62kWh/L x 0.35/0.43 x 1/(5.54 kWh/kg) x 1 ton/1,000 kg x 100% </t>
  </si>
  <si>
    <t>Calculation:
a) 87.60 MWh/yr x (1/0.4)x (1/0.9)x(10^3 kWh/1 MWh)x(1kg/5.54kWh)x(1ton/10^3kg)x30% = 13.18 tpa</t>
  </si>
  <si>
    <t>Cars</t>
  </si>
  <si>
    <t>Operating with Diesel Generator with 100% Substitution</t>
  </si>
  <si>
    <t xml:space="preserve">Calculation:
(a) 20 kW x 1560h x 1/0.40 x 1/(5.54 kWh/kg) x 1 ton/1,000 kg x 10% 
(b) 55 kW x 4200h x 1/0.40 x 1/(5.54 kWh/kg) x 1 ton/1,000 kg x 10% </t>
  </si>
  <si>
    <t>Calculation:
a) 87.60 MWh/yr x (1/0.43)x (1/0.9)x(10^3 kWh/1 MWh)x(1kg/5.54kWh)x(1ton/10^3kg)x100% = 40.86 tpa</t>
  </si>
  <si>
    <t xml:space="preserve">Calculation:
(a) 20 kW x 1560h x 1/0.40 x 1/(5.54 kWh/kg) x 1 ton/1,000 kg x 30% 
(b) 55 kW x 4200h x 1/0.40 x 1/(5.54 kWh/kg) x 1 ton/1,000 kg x 30% </t>
  </si>
  <si>
    <t>Operating with Methanol Fuel Cell</t>
  </si>
  <si>
    <t xml:space="preserve">Calculation:
(a) 20 kW x 1560h x 1/0.43 x 1/(5.54 kWh/kg) x 1 ton/1,000 kg x 100% 
(b) 55 kW x 4200h x 1/0.43 x 1/(5.54 kWh/kg) x 1 ton/1,000 kg x 100% </t>
  </si>
  <si>
    <t xml:space="preserve">Calculation:
(a) 395L x 9.62kWh/L x 1/(5.54 kWh/kg) x 1 ton/1,000 kg x 10% 
(b) 2660L x 9.62kWh/L x 1/(5.54 kWh/kg) x 1 ton/1,000 kg x 10% </t>
  </si>
  <si>
    <t>Calculation:
a) 87.60 MWh/yr x (1/0.4)x (10^3 kWh/1 MWh)x(1kg/5.54kWh)x(1ton/10^3kg)x100% = 39.53 tpa
b) 87.60 MWh/yr x (1/0.7)x (10^3 kWh/1 MWh)x(1kg/5.54kWh)x(1ton/10^3kg)x100% = 22.59 tpa</t>
  </si>
  <si>
    <t xml:space="preserve">Calculation:
(a) 395L x 9.62kWh/L x 1/(5.54 kWh/kg) x 1 ton/1,000 kg x 30% 
(b) 2660L x 9.62kWh/L x 1/(5.54 kWh/kg) x 1 ton/1,000 kg x 30% </t>
  </si>
  <si>
    <t>Thompson, Gregory J., et al. "Reduction of Emissions From a High Speed Passenger Ferry." Internal Combustion Engine Division Fall Technical Conference. Vol. 37467. 2004; Zou, Guangrong. "Integrated energy solutions to smart and green shipping." Green Shipping and Technology Summit, GST 2019. 2019.</t>
  </si>
  <si>
    <t xml:space="preserve">Calculation:
(a) 395L x 9.62kWh/L x 0.35/0.43 x 1/(5.54 kWh/kg) x 1 ton/1,000 kg x 100% 
(b) 2660L x 9.62kWh/L x 0.35/0.43 x 1/(5.54 kWh/kg) x 1 ton/1,000 kg x 100% </t>
  </si>
  <si>
    <t>Buses</t>
  </si>
  <si>
    <t xml:space="preserve">Calculation:
(a) 800 kW x 1560h x 1/0.40 x 1/(5.54 kWh/kg) x 1 ton/1,000 kg x 10% 
(b) 6400 kW x 4200h x 1/0.40 x 1/(5.54 kWh/kg) x 1 ton/1,000 kg x 10% </t>
  </si>
  <si>
    <t>Assuming an average occupation rate of 300 days per year
a) 50 kWh/day/room x 20 room x 300 days/year x 1 MWh/1,000 kWh = 300 MWh/yr
b) 70 kWh/day/room x 20 room x 300 days/year x 1 MWh/1,000 kWh = 420 MWh/yr</t>
  </si>
  <si>
    <t xml:space="preserve">Calculation:
(a) 800 kW x 1560h x 1/0.40 x 1/(5.54 kWh/kg) x 1 ton/1,000 kg x 30% 
(b) 6400 kW x 4200h x 1/0.40 x 1/(5.54 kWh/kg) x 1 ton/1,000 kg x 30% </t>
  </si>
  <si>
    <t xml:space="preserve">Calculation:
(a) 12250L x 10.6kWh/L x 1/(5.54 kWh/kg) x 1 ton/1,000 kg x 10% 
(b) 24500L x 10.6kWh/L x 1/(5.54 kWh/kg) x 1 ton/1,000 kg x 10% </t>
  </si>
  <si>
    <t xml:space="preserve">Calculation:
(a) 800 kW x 1560h x 1/0.43 x 1/(5.54 kWh/kg) x 1 ton/1,000 kg x 100% 
(b) 6400 kW x 4200h x 1/0.43 x 1/(5.54 kWh/kg) x 1 ton/1,000 kg x 100% </t>
  </si>
  <si>
    <t>Calculation:
a) 300 MWh/yr x (1/0.4)x (1/0.9)x(10^3 kWh/1 MWh)x(1kg/5.54kWh)x(1ton/10^3kg)x10% = 15.04 tpa
b) 420 MWh/yr x (1/0.4)x (1/0.9)x(10^3 kWh/1 MWh)x(1kg/5.54kWh)x(1ton/10^3kg)x10% = 21.06 tpa</t>
  </si>
  <si>
    <t xml:space="preserve">Calculation:
(a) 12250L x 10.6kWh/L x 1/(5.54 kWh/kg) x 1 ton/1,000 kg x 30% 
(b) 24500L x 10.6kWh/L x 1/(5.54 kWh/kg) x 1 ton/1,000 kg x 30% </t>
  </si>
  <si>
    <t>Freight Ship</t>
  </si>
  <si>
    <t xml:space="preserve">Calculation:
(a) 12250L x 10.6kWh/L x 0.40/0.43 x 1/(5.54 kWh/kg) x 1 ton/1,000 kg x 100% 
(b) 24500L x 10.6kWh/L x 0.40/0.43 x 1/(5.54 kWh/kg) x 1 ton/1,000 kg x 100% </t>
  </si>
  <si>
    <t>Lindstad, Haakon, Inge Sandaas, and Sverre Steen. "Assessment of profit, cost, and emissions for slender bulk vessel designs." Transportation Research Part D: Transport and Environment 29 (2014): 32-39.</t>
  </si>
  <si>
    <t>Calculation:
a) 300 MWh/yr x (1/0.4)x (1/0.9)x(10^3 kWh/1 MWh)x(1kg/5.54kWh)x(1ton/10^3kg)x30% = 45.13 tpa
b) 420 MWh/yr x (1/0.4)x (1/0.9)x(10^3 kWh/1 MWh)x(1kg/5.54kWh)x(1ton/10^3kg)x30% = 63.18 tpa</t>
  </si>
  <si>
    <t>Calculation:
a) 300 MWh/yr x (1/0.43)x (1/0.9)x(10^3 kWh/1 MWh)x(1kg/5.54kWh)x(1ton/10^3kg)x100% = 139.93 tpa
b) 420 MWh/yr x (1/0.43)x (1/0.9)x(10^3 kWh/1 MWh)x(1kg/5.54kWh)x(1ton/10^3kg)x100% = 195.90 tpa</t>
  </si>
  <si>
    <t xml:space="preserve">Calculation:
(a) 5500 kW x 700h x 1/0.40 x 1/(5.54 kWh/kg) x 1 ton/1,000 kg x 10% 
(b) 16500 kW x 8400h x 1/0.40 x 1/(5.54 kWh/kg) x 1 ton/1,000 kg x 10% </t>
  </si>
  <si>
    <t xml:space="preserve">Calculation:
(a) 5500 kW x 700h x 1/0.40 x 1/(5.54 kWh/kg) x 1 ton/1,000 kg x 30% 
(b) 16500 kW x 8400h x 1/0.40 x 1/(5.54 kWh/kg) x 1 ton/1,000 kg x 30% </t>
  </si>
  <si>
    <t>Calculation:
a) 300 MWh/yr x (1/0.4)x(10^3 kWh/1 MWh)x(1kg/5.54kWh)x(1ton/10^3kg)x100% = 135.38 tpa
b) 420 MWh/yr x (1/0.7)x(10^3 kWh/1 MWh)x(1kg/5.54kWh)x(1ton/10^3kg)x100% = 108.30 tpa</t>
  </si>
  <si>
    <t xml:space="preserve">Calculation:
(a) 12950L x 10.6kWh/L x 1/(5.54 kWh/kg) x 1 ton/1,000 kg x 30% 
(b) 25900L x 10.6kWh/L x 1/(5.54 kWh/kg) x 1 ton/1,000 kg x 30% </t>
  </si>
  <si>
    <t xml:space="preserve">Calculation:
(a) 5500 kW x 700h x 1/0.43 x 1/(5.54 kWh/kg) x 1 ton/1,000 kg x 100% 
(b) 16500 kW x 8400h x 1/0.43 x 1/(5.54 kWh/kg) x 1 ton/1,000 kg x 100% </t>
  </si>
  <si>
    <t xml:space="preserve">Calculation:
(a) 12950L x 10.6kWh/L x 0.40/0.43 x 1/(5.54 kWh/kg) x 1 ton/1,000 kg x 100% 
(b) 25900L x 10.6kWh/L x 0.40/0.43 x 1/(5.54 kWh/kg) x 1 ton/1,000 kg x 100% </t>
  </si>
  <si>
    <t xml:space="preserve">Cruise Liner </t>
  </si>
  <si>
    <t>https://www.cruisehive.com/how-big-is-a-cruise-ship-engine/74524</t>
  </si>
  <si>
    <t>Calculation:
a) 30,000 kWh/year/bed/hospital x 50 bed/hospital x 1 MWh/1,000 kWh = 1,500 MWh/yr</t>
  </si>
  <si>
    <t>Calculation:
a) 1500 MWh/yr x (1/0.4)x (1/0.9)x(10^3 kWh/1 MWh)x(1kg/5.54kWh)x(1ton/10^3kg)x10% = 75.21 tpa</t>
  </si>
  <si>
    <t xml:space="preserve">Calculation:
(a) 45000 kW x 700h x 1/0.40 x 1/(5.54 kWh/kg) x 1 ton/1,000 kg x 10% 
(b) 90000 kW x 8400h x 1/0.40 x 1/(5.54 kWh/kg) x 1 ton/1,000 kg x 10% </t>
  </si>
  <si>
    <t xml:space="preserve">Calculation:
(a) 45000 kW x 700h x 1/0.40 x 1/(5.54 kWh/kg) x 1 ton/1,000 kg x 30% 
(b) 90000 kW x 8400h x 1/0.40 x 1/(5.54 kWh/kg) x 1 ton/1,000 kg x 30% </t>
  </si>
  <si>
    <t>Calculation:
a) 1500 MWh/yr x (1/0.4)x (1/0.9)x(10^3 kWh/1 MWh)x(1kg/5.54kWh)x(1ton/10^3kg)x30% = 225.63 tpa</t>
  </si>
  <si>
    <t xml:space="preserve">Calculation:
(a) 45000 kW x 700h x 1/0.43 x 1/(5.54 kWh/kg) x 1 ton/1,000 kg x 100% 
(b) 90000 kW x 8400h x 1/0.43 x 1/(5.54 kWh/kg) x 1 ton/1,000 kg x 100% </t>
  </si>
  <si>
    <t>Calculation:
a) 1500 MWh/yr x (1/0.43)x (1/0.9)x(10^3 kWh/1 MWh)x(1kg/5.54kWh)x(1ton/10^3kg)x100% = 699.63 tpa</t>
  </si>
  <si>
    <t>Calculation:
a) 1500 MWh/yr x (1/0.4)x(10^3 kWh/1 MWh)x(1kg/5.54kWh)x(1ton/10^3kg)x100% = 676.90 tpa
b) 1500 MWh/yr x (1/0.4)x(10^3 kWh/1 MWh)x(1kg/5.54kWh)x(1ton/10^3kg)x100% = 386.80 tpa</t>
  </si>
  <si>
    <t>CEEM Report on Energy Statistics of the Pacific Island. Data:
a) Solomon Island: 0.01 MWh/yr/capita
b) New Caledonia: 1.54 MWh/yr/capita</t>
  </si>
  <si>
    <t>Calculation:
a) 0.01 MWh/yr/capita x 50 capita = 1 MWh/yr
b) 1.54 MWh/yr/capita x 100 capita = 1 MWh/yr</t>
  </si>
  <si>
    <t>Calculation:
a) 0.5 MWh/yr x (1/0.4)x (1/0.9)x(10^3 kWh/1 MWh)x(1kg/5.54kWh)x(1ton/10^3kg)x10% = 0.03 tpa
b) 154 MWh/yr x (1/0.4)x (1/0.9)x(10^3 kWh/1 MWh)x(1kg/5.54kWh)x(1ton/10^3kg)x10% = 7.72 tpa</t>
  </si>
  <si>
    <t>Calculation:
a) 0.5 MWh/yr x (1/0.4)x (1/0.9)x(10^3 kWh/1 MWh)x(1kg/5.54kWh)x(1ton/10^3kg)x30% = 0.08 tpa
b) 154 MWh/yr x (1/0.4)x (1/0.9)x(10^3 kWh/1 MWh)x(1kg/5.54kWh)x(1ton/10^3kg)x30% = 23.16 tpa</t>
  </si>
  <si>
    <t>Calculation:
a) 0.5 MWh/yr x (1/0.43)x (1/0.9)x(10^3 kWh/1 MWh)x(1kg/5.54kWh)x(1ton/10^3kg)x30% = 0.23 tpa
b) 154 MWh/yr x (1/0.43)x (1/0.9)x(10^3 kWh/1 MWh)x(1kg/5.54kWh)x(1ton/10^3kg)x30% = 71.83 tpa</t>
  </si>
  <si>
    <t>Calculation:
a) 0.5 MWh/yr x (1/0.4)x(10^3 kWh/1 MWh)x(1kg/5.54kWh)x(1ton/10^3kg)x30% = 0.23 tpa
b) 154 MWh/yr x (1/0.7)x(10^3 kWh/1 MWh)x(1kg/5.54kWh)x(1ton/10^3kg)x30% = 39.71 tpa</t>
  </si>
  <si>
    <t>Grid Supply (Small-Scale Generator)</t>
  </si>
  <si>
    <t>Calculation:
a) 0.01 MW x 100% x 8760h/yr = 87.6 MWh/yr
b) 0.1 MW x 100% x 8760h/yr = 876 MWh/yr</t>
  </si>
  <si>
    <t>Calculation:
a) 0.01 MWh/yr x (1/0.4)x (1/0.9)x(10^3 kWh/1 MWh)x(1kg/5.54kWh)x(1ton/10^3kg)x10% = 4.39 tpa
b) 0.1 MWh/yr x (1/0.4)x (1/0.9)x(10^3 kWh/1 MWh)x(1kg/5.54kWh)x(1ton/10^3kg)x10% = 43.9 tpa</t>
  </si>
  <si>
    <t>Calculation:
a) 0.01 MWh/yr x (1/0.4)x (1/0.9)x(10^3 kWh/1 MWh)x(1kg/5.54kWh)x(1ton/10^3kg)x30% = 13.2 tpa
b) 0.1 MWh/yr x (1/0.4)x (1/0.9)x(10^3 kWh/1 MWh)x(1kg/5.54kWh)x(1ton/10^3kg)x30% = 132 tpa</t>
  </si>
  <si>
    <t>Calculation:
a) 0.01 MWh/yr x (1/0.43)x (1/0.9)x(10^3 kWh/1 MWh)x(1kg/5.54kWh)x(1ton/10^3kg)x30% = 40.9 tpa
b) 0.1 MWh/yr x (1/0.43)x (1/0.9)x(10^3 kWh/1 MWh)x(1kg/5.54kWh)x(1ton/10^3kg)x30% = 409 tpa</t>
  </si>
  <si>
    <t>Calculation:
a) 0.01 MWh/yr x (1/0.4)x(10^3 kWh/1 MWh)x(1kg/5.54kWh)x(1ton/10^3kg)x30% = 39.5 tpa
b) 0.1 MWh/yr x (1/0.7)x(10^3 kWh/1 MWh)x(1kg/5.54kWh)x(1ton/10^3kg)x30% = 226 tpa</t>
  </si>
  <si>
    <t>Grid Supply (Large-Scale Generator)</t>
  </si>
  <si>
    <t>Calculation:
a) 0.5 MW x 100% x 8760h/yr = 4,380 MWh/yr
b) 1.0 MW x 100% x 8760h/yr = 8,760 MWh/yr</t>
  </si>
  <si>
    <t>Calculation:
a) 0.5 MWh/yr x (1/0.4)x (1/0.9)x(10^3 kWh/1 MWh)x(1kg/5.54kWh)x(1ton/10^3kg)x10% = 220 tpa
b) 1.0 MWh/yr x (1/0.4)x (1/0.9)x(10^3 kWh/1 MWh)x(1kg/5.54kWh)x(1ton/10^3kg)x10% = 439 tpa</t>
  </si>
  <si>
    <t>Calculation:
a) 0.5 MWh/yr x (1/0.4)x (1/0.9)x(10^3 kWh/1 MWh)x(1kg/5.54kWh)x(1ton/10^3kg)x30% = 659 tpa
b) 1.0 MWh/yr x (1/0.4)x (1/0.9)x(10^3 kWh/1 MWh)x(1kg/5.54kWh)x(1ton/10^3kg)x30% = 1,318 tpa</t>
  </si>
  <si>
    <t>Calculation:
a) 0.5 MWh/yr x (1/0.43)x (1/0.9)x(10^3 kWh/1 MWh)x(1kg/5.54kWh)x(1ton/10^3kg)x30% = 2,043 tpa
b) 1.0 MWh/yr x (1/0.43)x (1/0.9)x(10^3 kWh/1 MWh)x(1kg/5.54kWh)x(1ton/10^3kg)x30% = 4,086 tpa</t>
  </si>
  <si>
    <t>Calculation:
a) 0.5 MWh/yr x (1/0.4)x(10^3 kWh/1 MWh)x(1kg/5.54kWh)x(1ton/10^3kg)x30% = 1,977 tpa
b) 1.0 MWh/yr x (1/0.7)x(10^3 kWh/1 MWh)x(1kg/5.54kWh)x(1ton/10^3kg)x30% = 2,259 tpa</t>
  </si>
  <si>
    <t>https://link.springer.com/article/10.1007/s10668-023-02917-7#Sec6</t>
  </si>
  <si>
    <t xml:space="preserve">Average Kilometers Driven per Day </t>
  </si>
  <si>
    <t>km</t>
  </si>
  <si>
    <t xml:space="preserve">Average Days Driven per Annum </t>
  </si>
  <si>
    <t>Diesel Generator Efficiency</t>
  </si>
  <si>
    <t>Diesel Generator Efficiency: 25% - 40%</t>
  </si>
  <si>
    <t>Annual Diesel Consumption (for 10% fuel blend)</t>
  </si>
  <si>
    <t>ktpa</t>
  </si>
  <si>
    <t>Annual Diesel Consumption (for 30% fuel blend)</t>
  </si>
  <si>
    <t>Annual Diesel Consumption (for 100% fuel substitution)</t>
  </si>
  <si>
    <t>Equivalent RD Energy Input</t>
  </si>
  <si>
    <r>
      <t>LHV of RD</t>
    </r>
    <r>
      <rPr>
        <vertAlign val="subscript"/>
        <sz val="11"/>
        <rFont val="Aptos Narrow"/>
        <family val="2"/>
        <scheme val="minor"/>
      </rPr>
      <t xml:space="preserve"> </t>
    </r>
    <r>
      <rPr>
        <sz val="11"/>
        <rFont val="Aptos Narrow"/>
        <family val="2"/>
        <scheme val="minor"/>
      </rPr>
      <t>= 11.8 kWh/kg of diesel</t>
    </r>
  </si>
  <si>
    <t>Assuming an average occupation rate of 300 days per year
Thus:
(a) 50 kWh/day/room x 20 room x 300 days/year x 1 MWh/1,000 kWh = 300 MWh/yr
(b) 70 kWh/day/room x 20 room x 300 days/year x 1 MWh/1,000 kWh = 420 MWh/yr</t>
  </si>
  <si>
    <t>30$</t>
  </si>
  <si>
    <t>Grid Supply (10 kW)</t>
  </si>
  <si>
    <t>RD Requirement</t>
  </si>
  <si>
    <t>Grid Supply (100 kW)</t>
  </si>
  <si>
    <t>Grid Supply (500 kW)</t>
  </si>
  <si>
    <t>Grid Supply (1000 kW)</t>
  </si>
  <si>
    <t>Grid Supply (5000 kW)</t>
  </si>
  <si>
    <t>Grid Supply (10000 kW)</t>
  </si>
  <si>
    <t>Small Helicopter</t>
  </si>
  <si>
    <t>Average Fuel Consumption</t>
  </si>
  <si>
    <t>L/h</t>
  </si>
  <si>
    <t>https://www.aeroclass.org/helicopter-fuel/</t>
  </si>
  <si>
    <t>h/yr</t>
  </si>
  <si>
    <t>https://www.statista.com/statistics/829339/average-flight-hours-worldwide-by-aircraft-type-business-aircraft/</t>
  </si>
  <si>
    <t>Annual SAF Consumption (10% SAF blend)</t>
  </si>
  <si>
    <t>Calculation:
Average Fuel Consumption x Average Annual Operation x 0.8 kg/L x 0.001 t/kg</t>
  </si>
  <si>
    <t>Annual SAF Consumption (50% SAF blend)</t>
  </si>
  <si>
    <t>Annual SAF Consumption (100% SAF)</t>
  </si>
  <si>
    <t>Large Helicopter</t>
  </si>
  <si>
    <t>Light Private Jet Aircraft</t>
  </si>
  <si>
    <t>https://privatejetcardcomparisons.com/the-basics/private-jet-fuel-cost-per-hour-in-gallons/</t>
  </si>
  <si>
    <t>https://privatejetcardcomparisons.com/2017/07/11/how-many-hours-a-year-do-private-jets-fly/</t>
  </si>
  <si>
    <t>Midsize Private Jet Aircraft</t>
  </si>
  <si>
    <t>Large Private Jet Aircraft</t>
  </si>
  <si>
    <t>Narrow-Body Passenger Aircraft</t>
  </si>
  <si>
    <t>https://en.wikipedia.org/wiki/Boeing_737_Next_Generation</t>
  </si>
  <si>
    <t>Average Daily Operation</t>
  </si>
  <si>
    <t>h/day</t>
  </si>
  <si>
    <t>https://www.mckinsey.com/industries/travel-logistics-and-infrastructure/our-insights/the-six-secrets-of-profitable-airlines</t>
  </si>
  <si>
    <t>Calculation:
Average Fuel Consumption x Average Daily Operation x 365 h/yr x 80% x 0.8 kg/L x 0.000001 kt/kg</t>
  </si>
  <si>
    <t>Wide-Body Passenger Aircraft</t>
  </si>
  <si>
    <t>https://www.smh.com.au/traveller/reviews-and-advice/how-fuel-efficient-are-modern-commercial-aircraft-compared-with-cars-20190718-h1gc84.html</t>
  </si>
  <si>
    <t>Narrow-Body Cargo Aircraft</t>
  </si>
  <si>
    <t>https://www.faa.gov/sites/faa.gov/files/regulations_policies/policy_guidance/benefit_cost/econ-value-section-3-capacity.pdf</t>
  </si>
  <si>
    <t>Wide-Body Cargo Aircraft</t>
  </si>
  <si>
    <t>tpa to Lpa Conversion</t>
  </si>
  <si>
    <t>kgpa</t>
  </si>
  <si>
    <t>Lpa</t>
  </si>
  <si>
    <t>kLpa</t>
  </si>
  <si>
    <t>Domestic aviation transport (50% SAF)</t>
  </si>
  <si>
    <t>International aviation bunkering (50% SAF)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</si>
</sst>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_-;\-* #,##0.00_-;_-* &quot;-&quot;??_-;_-@_-"/>
    <numFmt numFmtId="164" formatCode="0.0%"/>
    <numFmt numFmtId="165" formatCode="0.0"/>
    <numFmt numFmtId="166" formatCode="0.0000"/>
    <numFmt numFmtId="167" formatCode="0.000"/>
  </numFmts>
  <fonts count="24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i/>
      <sz val="14"/>
      <color theme="1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sz val="11"/>
      <color theme="0"/>
      <name val="Aptos Narrow"/>
      <family val="2"/>
      <scheme val="minor"/>
    </font>
    <font>
      <sz val="11"/>
      <color rgb="FF3F3F76"/>
      <name val="Aptos Narrow"/>
      <family val="2"/>
      <scheme val="minor"/>
    </font>
    <font>
      <b/>
      <sz val="11"/>
      <color rgb="FF3F3F3F"/>
      <name val="Aptos Narrow"/>
      <family val="2"/>
      <scheme val="minor"/>
    </font>
    <font>
      <b/>
      <sz val="11"/>
      <color rgb="FFFA7D00"/>
      <name val="Aptos Narrow"/>
      <family val="2"/>
      <scheme val="minor"/>
    </font>
    <font>
      <u/>
      <sz val="11"/>
      <color theme="10"/>
      <name val="Aptos Narrow"/>
      <family val="2"/>
      <scheme val="minor"/>
    </font>
    <font>
      <sz val="11"/>
      <name val="Aptos Narrow"/>
      <family val="2"/>
      <scheme val="minor"/>
    </font>
    <font>
      <b/>
      <sz val="10"/>
      <name val="Aptos Narrow"/>
      <family val="2"/>
      <scheme val="minor"/>
    </font>
    <font>
      <sz val="10"/>
      <name val="Aptos Narrow"/>
      <family val="2"/>
      <scheme val="minor"/>
    </font>
    <font>
      <u/>
      <sz val="10"/>
      <name val="Aptos Narrow"/>
      <family val="2"/>
      <scheme val="minor"/>
    </font>
    <font>
      <b/>
      <sz val="11"/>
      <name val="Aptos Narrow"/>
      <family val="2"/>
      <scheme val="minor"/>
    </font>
    <font>
      <vertAlign val="subscript"/>
      <sz val="10"/>
      <name val="Aptos Narrow"/>
      <family val="2"/>
      <scheme val="minor"/>
    </font>
    <font>
      <u/>
      <sz val="11"/>
      <name val="Aptos Narrow"/>
      <family val="2"/>
      <scheme val="minor"/>
    </font>
    <font>
      <b/>
      <sz val="10"/>
      <color theme="0"/>
      <name val="Aptos Narrow"/>
      <family val="2"/>
      <scheme val="minor"/>
    </font>
    <font>
      <b/>
      <sz val="14"/>
      <color theme="0"/>
      <name val="Aptos Narrow"/>
      <family val="2"/>
      <scheme val="minor"/>
    </font>
    <font>
      <b/>
      <i/>
      <sz val="11"/>
      <color theme="1"/>
      <name val="Aptos Narrow"/>
      <family val="2"/>
      <scheme val="minor"/>
    </font>
    <font>
      <b/>
      <i/>
      <sz val="14"/>
      <name val="Aptos Narrow"/>
      <family val="2"/>
      <scheme val="minor"/>
    </font>
    <font>
      <vertAlign val="subscript"/>
      <sz val="11"/>
      <name val="Aptos Narrow"/>
      <family val="2"/>
      <scheme val="minor"/>
    </font>
    <font>
      <sz val="10"/>
      <color theme="0"/>
      <name val="Aptos Narrow"/>
      <family val="2"/>
      <scheme val="minor"/>
    </font>
    <font>
      <sz val="14"/>
      <color theme="0"/>
      <name val="Aptos Narrow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1" tint="0.249977111117893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2" tint="-9.9978637043366805E-2"/>
        <bgColor indexed="64"/>
      </patternFill>
    </fill>
  </fills>
  <borders count="7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7F7F7F"/>
      </left>
      <right style="thin">
        <color rgb="FF7F7F7F"/>
      </right>
      <top/>
      <bottom style="thin">
        <color rgb="FF7F7F7F"/>
      </bottom>
      <diagonal/>
    </border>
    <border>
      <left style="thin">
        <color rgb="FF7F7F7F"/>
      </left>
      <right/>
      <top/>
      <bottom style="thin">
        <color rgb="FF7F7F7F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7F7F7F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medium">
        <color indexed="64"/>
      </top>
      <bottom style="thin">
        <color rgb="FF7F7F7F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7F7F7F"/>
      </left>
      <right/>
      <top style="thin">
        <color rgb="FF7F7F7F"/>
      </top>
      <bottom style="thin">
        <color rgb="FF7F7F7F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rgb="FF7F7F7F"/>
      </left>
      <right/>
      <top style="medium">
        <color indexed="64"/>
      </top>
      <bottom style="thin">
        <color rgb="FF7F7F7F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/>
      <bottom/>
      <diagonal/>
    </border>
    <border>
      <left style="thin">
        <color rgb="FF7F7F7F"/>
      </left>
      <right style="thin">
        <color rgb="FF7F7F7F"/>
      </right>
      <top/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7">
    <xf numFmtId="0" fontId="0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6" fillId="10" borderId="14" applyNumberFormat="0" applyAlignment="0" applyProtection="0"/>
    <xf numFmtId="0" fontId="7" fillId="11" borderId="15" applyNumberFormat="0" applyAlignment="0" applyProtection="0"/>
    <xf numFmtId="0" fontId="8" fillId="11" borderId="14" applyNumberFormat="0" applyAlignment="0" applyProtection="0"/>
    <xf numFmtId="0" fontId="9" fillId="0" borderId="0" applyNumberFormat="0" applyFill="0" applyBorder="0" applyAlignment="0" applyProtection="0"/>
  </cellStyleXfs>
  <cellXfs count="469">
    <xf numFmtId="0" fontId="0" fillId="0" borderId="0" xfId="0"/>
    <xf numFmtId="0" fontId="2" fillId="0" borderId="0" xfId="0" applyFont="1" applyAlignment="1">
      <alignment horizontal="center"/>
    </xf>
    <xf numFmtId="2" fontId="2" fillId="0" borderId="0" xfId="0" applyNumberFormat="1" applyFont="1" applyAlignment="1">
      <alignment horizontal="center"/>
    </xf>
    <xf numFmtId="2" fontId="0" fillId="0" borderId="0" xfId="0" applyNumberFormat="1" applyAlignment="1">
      <alignment horizontal="center"/>
    </xf>
    <xf numFmtId="0" fontId="0" fillId="0" borderId="3" xfId="0" applyBorder="1" applyAlignment="1">
      <alignment horizontal="left"/>
    </xf>
    <xf numFmtId="0" fontId="0" fillId="0" borderId="5" xfId="0" applyBorder="1"/>
    <xf numFmtId="0" fontId="0" fillId="0" borderId="7" xfId="0" applyBorder="1"/>
    <xf numFmtId="0" fontId="0" fillId="0" borderId="3" xfId="0" applyBorder="1"/>
    <xf numFmtId="2" fontId="0" fillId="0" borderId="10" xfId="0" applyNumberForma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2" fontId="0" fillId="0" borderId="6" xfId="0" applyNumberFormat="1" applyBorder="1" applyAlignment="1">
      <alignment horizontal="center"/>
    </xf>
    <xf numFmtId="2" fontId="0" fillId="0" borderId="11" xfId="0" applyNumberFormat="1" applyBorder="1" applyAlignment="1">
      <alignment horizontal="center"/>
    </xf>
    <xf numFmtId="2" fontId="0" fillId="0" borderId="8" xfId="0" applyNumberFormat="1" applyBorder="1" applyAlignment="1">
      <alignment horizontal="center"/>
    </xf>
    <xf numFmtId="9" fontId="0" fillId="0" borderId="0" xfId="1" applyFont="1" applyBorder="1" applyAlignment="1">
      <alignment horizontal="center"/>
    </xf>
    <xf numFmtId="9" fontId="0" fillId="0" borderId="11" xfId="1" applyFont="1" applyBorder="1" applyAlignment="1">
      <alignment horizontal="center"/>
    </xf>
    <xf numFmtId="9" fontId="1" fillId="0" borderId="10" xfId="1" applyFont="1" applyBorder="1" applyAlignment="1">
      <alignment horizontal="center" wrapText="1"/>
    </xf>
    <xf numFmtId="2" fontId="0" fillId="0" borderId="10" xfId="0" applyNumberFormat="1" applyBorder="1" applyAlignment="1">
      <alignment horizontal="left"/>
    </xf>
    <xf numFmtId="2" fontId="0" fillId="0" borderId="4" xfId="0" applyNumberFormat="1" applyBorder="1" applyAlignment="1">
      <alignment horizontal="left"/>
    </xf>
    <xf numFmtId="2" fontId="0" fillId="0" borderId="0" xfId="0" applyNumberFormat="1" applyAlignment="1">
      <alignment horizontal="left"/>
    </xf>
    <xf numFmtId="2" fontId="0" fillId="0" borderId="6" xfId="0" applyNumberFormat="1" applyBorder="1" applyAlignment="1">
      <alignment horizontal="left"/>
    </xf>
    <xf numFmtId="2" fontId="0" fillId="0" borderId="11" xfId="0" applyNumberFormat="1" applyBorder="1" applyAlignment="1">
      <alignment horizontal="left"/>
    </xf>
    <xf numFmtId="2" fontId="0" fillId="0" borderId="8" xfId="0" applyNumberFormat="1" applyBorder="1" applyAlignment="1">
      <alignment horizontal="left"/>
    </xf>
    <xf numFmtId="0" fontId="3" fillId="0" borderId="0" xfId="0" applyFont="1"/>
    <xf numFmtId="164" fontId="0" fillId="0" borderId="8" xfId="1" applyNumberFormat="1" applyFont="1" applyBorder="1" applyAlignment="1">
      <alignment horizontal="center"/>
    </xf>
    <xf numFmtId="2" fontId="0" fillId="2" borderId="10" xfId="0" applyNumberFormat="1" applyFill="1" applyBorder="1" applyAlignment="1">
      <alignment horizontal="center"/>
    </xf>
    <xf numFmtId="2" fontId="0" fillId="2" borderId="4" xfId="0" applyNumberFormat="1" applyFill="1" applyBorder="1" applyAlignment="1">
      <alignment horizontal="center"/>
    </xf>
    <xf numFmtId="0" fontId="0" fillId="2" borderId="5" xfId="0" applyFill="1" applyBorder="1"/>
    <xf numFmtId="2" fontId="0" fillId="2" borderId="0" xfId="0" applyNumberFormat="1" applyFill="1" applyAlignment="1">
      <alignment horizontal="center"/>
    </xf>
    <xf numFmtId="2" fontId="0" fillId="2" borderId="6" xfId="0" applyNumberFormat="1" applyFill="1" applyBorder="1" applyAlignment="1">
      <alignment horizontal="center"/>
    </xf>
    <xf numFmtId="0" fontId="0" fillId="2" borderId="7" xfId="0" applyFill="1" applyBorder="1"/>
    <xf numFmtId="2" fontId="0" fillId="2" borderId="11" xfId="0" applyNumberFormat="1" applyFill="1" applyBorder="1" applyAlignment="1">
      <alignment horizontal="center"/>
    </xf>
    <xf numFmtId="2" fontId="0" fillId="2" borderId="8" xfId="0" applyNumberFormat="1" applyFill="1" applyBorder="1" applyAlignment="1">
      <alignment horizontal="center"/>
    </xf>
    <xf numFmtId="0" fontId="2" fillId="2" borderId="3" xfId="0" applyFont="1" applyFill="1" applyBorder="1"/>
    <xf numFmtId="0" fontId="2" fillId="2" borderId="5" xfId="0" applyFont="1" applyFill="1" applyBorder="1"/>
    <xf numFmtId="0" fontId="4" fillId="3" borderId="1" xfId="0" applyFont="1" applyFill="1" applyBorder="1"/>
    <xf numFmtId="2" fontId="5" fillId="3" borderId="9" xfId="0" applyNumberFormat="1" applyFont="1" applyFill="1" applyBorder="1" applyAlignment="1">
      <alignment horizontal="center"/>
    </xf>
    <xf numFmtId="2" fontId="5" fillId="3" borderId="2" xfId="0" applyNumberFormat="1" applyFont="1" applyFill="1" applyBorder="1" applyAlignment="1">
      <alignment horizontal="center"/>
    </xf>
    <xf numFmtId="0" fontId="4" fillId="4" borderId="1" xfId="0" applyFont="1" applyFill="1" applyBorder="1" applyAlignment="1">
      <alignment horizontal="center" vertical="center"/>
    </xf>
    <xf numFmtId="2" fontId="4" fillId="4" borderId="9" xfId="0" applyNumberFormat="1" applyFont="1" applyFill="1" applyBorder="1" applyAlignment="1">
      <alignment horizontal="center" vertical="center" wrapText="1"/>
    </xf>
    <xf numFmtId="2" fontId="4" fillId="4" borderId="9" xfId="0" applyNumberFormat="1" applyFont="1" applyFill="1" applyBorder="1" applyAlignment="1">
      <alignment horizontal="center" vertical="center"/>
    </xf>
    <xf numFmtId="2" fontId="4" fillId="4" borderId="9" xfId="0" applyNumberFormat="1" applyFont="1" applyFill="1" applyBorder="1" applyAlignment="1">
      <alignment horizontal="center" wrapText="1"/>
    </xf>
    <xf numFmtId="2" fontId="4" fillId="4" borderId="2" xfId="0" applyNumberFormat="1" applyFont="1" applyFill="1" applyBorder="1" applyAlignment="1">
      <alignment horizontal="center" wrapText="1"/>
    </xf>
    <xf numFmtId="0" fontId="0" fillId="5" borderId="4" xfId="0" applyFill="1" applyBorder="1"/>
    <xf numFmtId="0" fontId="0" fillId="6" borderId="6" xfId="0" applyFill="1" applyBorder="1"/>
    <xf numFmtId="0" fontId="0" fillId="7" borderId="8" xfId="0" applyFill="1" applyBorder="1"/>
    <xf numFmtId="0" fontId="4" fillId="7" borderId="1" xfId="0" applyFont="1" applyFill="1" applyBorder="1"/>
    <xf numFmtId="2" fontId="5" fillId="7" borderId="9" xfId="0" applyNumberFormat="1" applyFont="1" applyFill="1" applyBorder="1" applyAlignment="1">
      <alignment horizontal="center"/>
    </xf>
    <xf numFmtId="2" fontId="5" fillId="7" borderId="2" xfId="0" applyNumberFormat="1" applyFont="1" applyFill="1" applyBorder="1" applyAlignment="1">
      <alignment horizontal="center"/>
    </xf>
    <xf numFmtId="0" fontId="0" fillId="8" borderId="6" xfId="0" applyFill="1" applyBorder="1"/>
    <xf numFmtId="0" fontId="4" fillId="8" borderId="1" xfId="0" applyFont="1" applyFill="1" applyBorder="1"/>
    <xf numFmtId="2" fontId="5" fillId="8" borderId="9" xfId="0" applyNumberFormat="1" applyFont="1" applyFill="1" applyBorder="1" applyAlignment="1">
      <alignment horizontal="center"/>
    </xf>
    <xf numFmtId="2" fontId="5" fillId="8" borderId="2" xfId="0" applyNumberFormat="1" applyFont="1" applyFill="1" applyBorder="1" applyAlignment="1">
      <alignment horizontal="center"/>
    </xf>
    <xf numFmtId="0" fontId="4" fillId="6" borderId="1" xfId="0" applyFont="1" applyFill="1" applyBorder="1"/>
    <xf numFmtId="2" fontId="5" fillId="6" borderId="9" xfId="0" applyNumberFormat="1" applyFont="1" applyFill="1" applyBorder="1" applyAlignment="1">
      <alignment horizontal="center"/>
    </xf>
    <xf numFmtId="2" fontId="5" fillId="6" borderId="2" xfId="0" applyNumberFormat="1" applyFont="1" applyFill="1" applyBorder="1" applyAlignment="1">
      <alignment horizontal="center"/>
    </xf>
    <xf numFmtId="164" fontId="0" fillId="0" borderId="4" xfId="1" applyNumberFormat="1" applyFont="1" applyBorder="1" applyAlignment="1">
      <alignment horizontal="center"/>
    </xf>
    <xf numFmtId="0" fontId="10" fillId="0" borderId="0" xfId="0" applyFont="1"/>
    <xf numFmtId="0" fontId="12" fillId="0" borderId="17" xfId="0" applyFont="1" applyBorder="1" applyAlignment="1">
      <alignment horizontal="left" vertical="center" wrapText="1"/>
    </xf>
    <xf numFmtId="0" fontId="10" fillId="0" borderId="18" xfId="3" applyFont="1" applyFill="1" applyBorder="1" applyAlignment="1">
      <alignment horizontal="center" vertical="center" wrapText="1"/>
    </xf>
    <xf numFmtId="0" fontId="10" fillId="0" borderId="19" xfId="3" applyFont="1" applyFill="1" applyBorder="1" applyAlignment="1">
      <alignment horizontal="center" vertical="center" wrapText="1"/>
    </xf>
    <xf numFmtId="0" fontId="12" fillId="0" borderId="20" xfId="0" applyFont="1" applyBorder="1" applyAlignment="1">
      <alignment horizontal="center" vertical="center" wrapText="1"/>
    </xf>
    <xf numFmtId="0" fontId="13" fillId="0" borderId="21" xfId="6" applyFont="1" applyFill="1" applyBorder="1" applyAlignment="1">
      <alignment horizontal="left" vertical="center" wrapText="1"/>
    </xf>
    <xf numFmtId="0" fontId="12" fillId="0" borderId="22" xfId="0" applyFont="1" applyBorder="1" applyAlignment="1">
      <alignment horizontal="left" vertical="center" wrapText="1"/>
    </xf>
    <xf numFmtId="0" fontId="12" fillId="0" borderId="23" xfId="0" applyFont="1" applyBorder="1" applyAlignment="1">
      <alignment horizontal="center" vertical="center" wrapText="1"/>
    </xf>
    <xf numFmtId="0" fontId="12" fillId="0" borderId="24" xfId="0" applyFont="1" applyBorder="1" applyAlignment="1">
      <alignment horizontal="justify" vertical="center" wrapText="1"/>
    </xf>
    <xf numFmtId="0" fontId="12" fillId="0" borderId="25" xfId="0" applyFont="1" applyBorder="1" applyAlignment="1">
      <alignment horizontal="left" vertical="center" wrapText="1"/>
    </xf>
    <xf numFmtId="0" fontId="12" fillId="0" borderId="26" xfId="0" applyFont="1" applyBorder="1" applyAlignment="1">
      <alignment horizontal="center" vertical="center" wrapText="1"/>
    </xf>
    <xf numFmtId="2" fontId="12" fillId="0" borderId="27" xfId="0" applyNumberFormat="1" applyFont="1" applyBorder="1" applyAlignment="1">
      <alignment horizontal="justify" vertical="center" wrapText="1"/>
    </xf>
    <xf numFmtId="0" fontId="12" fillId="0" borderId="7" xfId="0" applyFont="1" applyBorder="1" applyAlignment="1">
      <alignment horizontal="left" vertical="center" wrapText="1"/>
    </xf>
    <xf numFmtId="0" fontId="12" fillId="0" borderId="28" xfId="0" applyFont="1" applyBorder="1" applyAlignment="1">
      <alignment horizontal="center" vertical="center" wrapText="1"/>
    </xf>
    <xf numFmtId="0" fontId="12" fillId="0" borderId="17" xfId="0" applyFont="1" applyBorder="1" applyAlignment="1">
      <alignment horizontal="left" vertical="center" wrapText="1" indent="2"/>
    </xf>
    <xf numFmtId="0" fontId="12" fillId="0" borderId="29" xfId="0" applyFont="1" applyBorder="1" applyAlignment="1">
      <alignment horizontal="center" vertical="center" wrapText="1"/>
    </xf>
    <xf numFmtId="0" fontId="12" fillId="0" borderId="30" xfId="0" applyFont="1" applyBorder="1" applyAlignment="1">
      <alignment horizontal="justify" vertical="center" wrapText="1"/>
    </xf>
    <xf numFmtId="0" fontId="12" fillId="0" borderId="25" xfId="0" applyFont="1" applyBorder="1" applyAlignment="1">
      <alignment horizontal="left" vertical="center" wrapText="1" indent="2"/>
    </xf>
    <xf numFmtId="0" fontId="12" fillId="0" borderId="31" xfId="0" applyFont="1" applyBorder="1" applyAlignment="1">
      <alignment horizontal="center" vertical="center" wrapText="1"/>
    </xf>
    <xf numFmtId="0" fontId="12" fillId="0" borderId="27" xfId="0" applyFont="1" applyBorder="1" applyAlignment="1">
      <alignment horizontal="justify" vertical="center" wrapText="1"/>
    </xf>
    <xf numFmtId="1" fontId="10" fillId="0" borderId="18" xfId="3" applyNumberFormat="1" applyFont="1" applyFill="1" applyBorder="1" applyAlignment="1">
      <alignment horizontal="center" vertical="center" wrapText="1"/>
    </xf>
    <xf numFmtId="0" fontId="16" fillId="0" borderId="24" xfId="6" applyFont="1" applyFill="1" applyBorder="1" applyAlignment="1">
      <alignment horizontal="left" vertical="center" wrapText="1"/>
    </xf>
    <xf numFmtId="0" fontId="12" fillId="0" borderId="32" xfId="0" applyFont="1" applyBorder="1" applyAlignment="1">
      <alignment vertical="center"/>
    </xf>
    <xf numFmtId="1" fontId="10" fillId="0" borderId="14" xfId="2" applyNumberFormat="1" applyFont="1" applyFill="1" applyBorder="1" applyAlignment="1">
      <alignment horizontal="center" vertical="center" wrapText="1"/>
    </xf>
    <xf numFmtId="0" fontId="12" fillId="0" borderId="29" xfId="0" applyFont="1" applyBorder="1" applyAlignment="1">
      <alignment vertical="center"/>
    </xf>
    <xf numFmtId="0" fontId="12" fillId="0" borderId="33" xfId="0" applyFont="1" applyBorder="1" applyAlignment="1">
      <alignment vertical="center" wrapText="1"/>
    </xf>
    <xf numFmtId="0" fontId="12" fillId="0" borderId="34" xfId="0" applyFont="1" applyBorder="1" applyAlignment="1">
      <alignment vertical="center"/>
    </xf>
    <xf numFmtId="0" fontId="12" fillId="0" borderId="35" xfId="0" applyFont="1" applyBorder="1" applyAlignment="1">
      <alignment horizontal="center" vertical="center"/>
    </xf>
    <xf numFmtId="0" fontId="12" fillId="0" borderId="25" xfId="0" applyFont="1" applyBorder="1" applyAlignment="1">
      <alignment vertical="center"/>
    </xf>
    <xf numFmtId="0" fontId="12" fillId="0" borderId="36" xfId="0" applyFont="1" applyBorder="1" applyAlignment="1">
      <alignment horizontal="justify" vertical="center" wrapText="1"/>
    </xf>
    <xf numFmtId="0" fontId="13" fillId="0" borderId="24" xfId="6" applyFont="1" applyFill="1" applyBorder="1" applyAlignment="1">
      <alignment horizontal="left" vertical="center" wrapText="1"/>
    </xf>
    <xf numFmtId="0" fontId="12" fillId="0" borderId="37" xfId="0" applyFont="1" applyBorder="1" applyAlignment="1">
      <alignment horizontal="left" vertical="center" wrapText="1" indent="2"/>
    </xf>
    <xf numFmtId="0" fontId="12" fillId="0" borderId="39" xfId="0" applyFont="1" applyBorder="1" applyAlignment="1">
      <alignment horizontal="center" vertical="center" wrapText="1"/>
    </xf>
    <xf numFmtId="2" fontId="10" fillId="0" borderId="18" xfId="3" applyNumberFormat="1" applyFont="1" applyFill="1" applyBorder="1" applyAlignment="1">
      <alignment horizontal="center" vertical="center" wrapText="1"/>
    </xf>
    <xf numFmtId="9" fontId="10" fillId="0" borderId="14" xfId="1" applyFont="1" applyFill="1" applyBorder="1" applyAlignment="1">
      <alignment horizontal="center" vertical="center" wrapText="1"/>
    </xf>
    <xf numFmtId="0" fontId="0" fillId="0" borderId="6" xfId="0" applyBorder="1" applyAlignment="1">
      <alignment horizontal="left" vertical="center" wrapText="1"/>
    </xf>
    <xf numFmtId="0" fontId="4" fillId="8" borderId="2" xfId="0" applyFont="1" applyFill="1" applyBorder="1" applyAlignment="1">
      <alignment horizontal="center" vertical="center" wrapText="1"/>
    </xf>
    <xf numFmtId="0" fontId="4" fillId="8" borderId="12" xfId="0" applyFont="1" applyFill="1" applyBorder="1" applyAlignment="1">
      <alignment horizontal="center" vertical="center" wrapText="1"/>
    </xf>
    <xf numFmtId="0" fontId="18" fillId="5" borderId="12" xfId="0" applyFont="1" applyFill="1" applyBorder="1" applyAlignment="1">
      <alignment horizontal="center"/>
    </xf>
    <xf numFmtId="0" fontId="18" fillId="8" borderId="12" xfId="0" applyFont="1" applyFill="1" applyBorder="1" applyAlignment="1">
      <alignment horizontal="center"/>
    </xf>
    <xf numFmtId="0" fontId="19" fillId="0" borderId="0" xfId="0" applyFont="1"/>
    <xf numFmtId="0" fontId="2" fillId="0" borderId="5" xfId="0" applyFont="1" applyBorder="1" applyAlignment="1">
      <alignment vertical="center" wrapText="1"/>
    </xf>
    <xf numFmtId="0" fontId="0" fillId="0" borderId="0" xfId="0" applyAlignment="1">
      <alignment wrapText="1"/>
    </xf>
    <xf numFmtId="0" fontId="0" fillId="0" borderId="6" xfId="0" applyBorder="1" applyAlignment="1">
      <alignment wrapText="1"/>
    </xf>
    <xf numFmtId="0" fontId="0" fillId="0" borderId="0" xfId="0" applyAlignment="1">
      <alignment horizontal="left" vertical="center"/>
    </xf>
    <xf numFmtId="0" fontId="2" fillId="0" borderId="5" xfId="0" applyFont="1" applyBorder="1" applyAlignment="1">
      <alignment vertical="center"/>
    </xf>
    <xf numFmtId="0" fontId="0" fillId="0" borderId="7" xfId="0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8" xfId="0" applyBorder="1" applyAlignment="1">
      <alignment horizontal="left" vertical="center" wrapText="1"/>
    </xf>
    <xf numFmtId="0" fontId="10" fillId="0" borderId="42" xfId="3" applyFont="1" applyFill="1" applyBorder="1" applyAlignment="1">
      <alignment horizontal="center" vertical="center" wrapText="1"/>
    </xf>
    <xf numFmtId="0" fontId="10" fillId="0" borderId="42" xfId="0" applyFont="1" applyBorder="1" applyAlignment="1">
      <alignment horizontal="center" vertical="center" wrapText="1"/>
    </xf>
    <xf numFmtId="9" fontId="10" fillId="0" borderId="42" xfId="3" applyNumberFormat="1" applyFont="1" applyFill="1" applyBorder="1" applyAlignment="1">
      <alignment horizontal="center" vertical="center" wrapText="1"/>
    </xf>
    <xf numFmtId="0" fontId="10" fillId="0" borderId="17" xfId="0" applyFont="1" applyBorder="1" applyAlignment="1">
      <alignment horizontal="left" vertical="center" wrapText="1"/>
    </xf>
    <xf numFmtId="0" fontId="10" fillId="0" borderId="20" xfId="0" applyFont="1" applyBorder="1" applyAlignment="1">
      <alignment horizontal="center" vertical="center" wrapText="1"/>
    </xf>
    <xf numFmtId="0" fontId="10" fillId="0" borderId="32" xfId="0" applyFont="1" applyBorder="1" applyAlignment="1">
      <alignment vertical="center"/>
    </xf>
    <xf numFmtId="0" fontId="10" fillId="0" borderId="29" xfId="0" applyFont="1" applyBorder="1" applyAlignment="1">
      <alignment vertical="center"/>
    </xf>
    <xf numFmtId="0" fontId="10" fillId="0" borderId="33" xfId="0" applyFont="1" applyBorder="1" applyAlignment="1">
      <alignment vertical="center" wrapText="1"/>
    </xf>
    <xf numFmtId="0" fontId="10" fillId="0" borderId="34" xfId="0" applyFont="1" applyBorder="1" applyAlignment="1">
      <alignment vertical="center"/>
    </xf>
    <xf numFmtId="0" fontId="10" fillId="0" borderId="35" xfId="0" applyFont="1" applyBorder="1" applyAlignment="1">
      <alignment horizontal="center" vertical="center"/>
    </xf>
    <xf numFmtId="0" fontId="10" fillId="0" borderId="26" xfId="0" applyFont="1" applyBorder="1" applyAlignment="1">
      <alignment horizontal="center" vertical="center" wrapText="1"/>
    </xf>
    <xf numFmtId="0" fontId="10" fillId="0" borderId="36" xfId="0" applyFont="1" applyBorder="1" applyAlignment="1">
      <alignment horizontal="left" vertical="center" wrapText="1"/>
    </xf>
    <xf numFmtId="1" fontId="10" fillId="0" borderId="42" xfId="3" applyNumberFormat="1" applyFont="1" applyFill="1" applyBorder="1" applyAlignment="1">
      <alignment horizontal="center" vertical="center" wrapText="1"/>
    </xf>
    <xf numFmtId="1" fontId="10" fillId="0" borderId="42" xfId="2" applyNumberFormat="1" applyFont="1" applyFill="1" applyBorder="1" applyAlignment="1">
      <alignment horizontal="center" vertical="center" wrapText="1"/>
    </xf>
    <xf numFmtId="0" fontId="10" fillId="0" borderId="24" xfId="0" applyFont="1" applyBorder="1" applyAlignment="1">
      <alignment horizontal="left" vertical="center" wrapText="1"/>
    </xf>
    <xf numFmtId="0" fontId="10" fillId="0" borderId="22" xfId="0" applyFont="1" applyBorder="1" applyAlignment="1">
      <alignment horizontal="left" vertical="center" wrapText="1"/>
    </xf>
    <xf numFmtId="0" fontId="10" fillId="0" borderId="23" xfId="0" applyFont="1" applyBorder="1" applyAlignment="1">
      <alignment horizontal="center" vertical="center" wrapText="1"/>
    </xf>
    <xf numFmtId="0" fontId="10" fillId="0" borderId="25" xfId="0" applyFont="1" applyBorder="1" applyAlignment="1">
      <alignment vertical="center"/>
    </xf>
    <xf numFmtId="0" fontId="10" fillId="0" borderId="21" xfId="0" applyFont="1" applyBorder="1" applyAlignment="1">
      <alignment horizontal="left" vertical="center" wrapText="1"/>
    </xf>
    <xf numFmtId="2" fontId="10" fillId="0" borderId="42" xfId="3" applyNumberFormat="1" applyFont="1" applyFill="1" applyBorder="1" applyAlignment="1">
      <alignment horizontal="center" vertical="center" wrapText="1"/>
    </xf>
    <xf numFmtId="165" fontId="10" fillId="0" borderId="42" xfId="3" applyNumberFormat="1" applyFont="1" applyFill="1" applyBorder="1" applyAlignment="1">
      <alignment horizontal="center" vertical="center" wrapText="1"/>
    </xf>
    <xf numFmtId="9" fontId="10" fillId="0" borderId="42" xfId="1" applyFont="1" applyFill="1" applyBorder="1" applyAlignment="1">
      <alignment horizontal="center" vertical="center" wrapText="1"/>
    </xf>
    <xf numFmtId="9" fontId="10" fillId="0" borderId="14" xfId="3" applyNumberFormat="1" applyFont="1" applyFill="1" applyAlignment="1">
      <alignment horizontal="center" vertical="center" wrapText="1"/>
    </xf>
    <xf numFmtId="2" fontId="12" fillId="0" borderId="2" xfId="0" applyNumberFormat="1" applyFont="1" applyBorder="1" applyAlignment="1">
      <alignment horizontal="justify" vertical="center" wrapText="1"/>
    </xf>
    <xf numFmtId="0" fontId="10" fillId="0" borderId="45" xfId="0" applyFont="1" applyBorder="1" applyAlignment="1">
      <alignment horizontal="left" vertical="center" wrapText="1"/>
    </xf>
    <xf numFmtId="0" fontId="16" fillId="0" borderId="46" xfId="6" applyFont="1" applyFill="1" applyBorder="1" applyAlignment="1">
      <alignment horizontal="left" vertical="center" wrapText="1"/>
    </xf>
    <xf numFmtId="0" fontId="10" fillId="0" borderId="46" xfId="0" applyFont="1" applyBorder="1" applyAlignment="1">
      <alignment horizontal="justify" vertical="center" wrapText="1"/>
    </xf>
    <xf numFmtId="2" fontId="10" fillId="0" borderId="46" xfId="0" applyNumberFormat="1" applyFont="1" applyBorder="1" applyAlignment="1">
      <alignment horizontal="justify" vertical="center" wrapText="1"/>
    </xf>
    <xf numFmtId="2" fontId="10" fillId="0" borderId="46" xfId="0" applyNumberFormat="1" applyFont="1" applyBorder="1" applyAlignment="1">
      <alignment horizontal="left" vertical="center" wrapText="1"/>
    </xf>
    <xf numFmtId="0" fontId="10" fillId="0" borderId="45" xfId="0" applyFont="1" applyBorder="1" applyAlignment="1">
      <alignment vertical="center"/>
    </xf>
    <xf numFmtId="0" fontId="10" fillId="0" borderId="46" xfId="0" applyFont="1" applyBorder="1" applyAlignment="1">
      <alignment horizontal="left" vertical="center" wrapText="1"/>
    </xf>
    <xf numFmtId="0" fontId="10" fillId="0" borderId="47" xfId="0" applyFont="1" applyBorder="1" applyAlignment="1">
      <alignment horizontal="left" vertical="center" wrapText="1"/>
    </xf>
    <xf numFmtId="0" fontId="10" fillId="0" borderId="48" xfId="0" applyFont="1" applyBorder="1" applyAlignment="1">
      <alignment horizontal="center" vertical="center" wrapText="1"/>
    </xf>
    <xf numFmtId="2" fontId="10" fillId="0" borderId="49" xfId="0" applyNumberFormat="1" applyFont="1" applyBorder="1" applyAlignment="1">
      <alignment horizontal="left" vertical="center" wrapText="1"/>
    </xf>
    <xf numFmtId="0" fontId="10" fillId="0" borderId="5" xfId="0" applyFont="1" applyBorder="1" applyAlignment="1">
      <alignment vertical="center"/>
    </xf>
    <xf numFmtId="0" fontId="14" fillId="0" borderId="0" xfId="0" applyFont="1" applyAlignment="1">
      <alignment vertical="center"/>
    </xf>
    <xf numFmtId="0" fontId="14" fillId="0" borderId="6" xfId="0" applyFont="1" applyBorder="1" applyAlignment="1">
      <alignment vertical="center"/>
    </xf>
    <xf numFmtId="0" fontId="14" fillId="0" borderId="7" xfId="0" applyFont="1" applyBorder="1" applyAlignment="1">
      <alignment horizontal="left" vertical="center"/>
    </xf>
    <xf numFmtId="0" fontId="10" fillId="0" borderId="11" xfId="0" applyFont="1" applyBorder="1"/>
    <xf numFmtId="0" fontId="10" fillId="0" borderId="8" xfId="0" applyFont="1" applyBorder="1" applyAlignment="1">
      <alignment wrapText="1"/>
    </xf>
    <xf numFmtId="0" fontId="10" fillId="0" borderId="32" xfId="0" applyFont="1" applyBorder="1" applyAlignment="1">
      <alignment vertical="center" wrapText="1"/>
    </xf>
    <xf numFmtId="165" fontId="10" fillId="0" borderId="18" xfId="3" applyNumberFormat="1" applyFont="1" applyFill="1" applyBorder="1" applyAlignment="1">
      <alignment horizontal="center" vertical="center" wrapText="1"/>
    </xf>
    <xf numFmtId="165" fontId="10" fillId="0" borderId="19" xfId="3" applyNumberFormat="1" applyFont="1" applyFill="1" applyBorder="1" applyAlignment="1">
      <alignment horizontal="center" vertical="center" wrapText="1"/>
    </xf>
    <xf numFmtId="0" fontId="10" fillId="0" borderId="21" xfId="6" applyFont="1" applyFill="1" applyBorder="1" applyAlignment="1">
      <alignment horizontal="left" vertical="center" wrapText="1"/>
    </xf>
    <xf numFmtId="0" fontId="10" fillId="0" borderId="32" xfId="0" applyFont="1" applyBorder="1" applyAlignment="1">
      <alignment horizontal="left" vertical="center" wrapText="1"/>
    </xf>
    <xf numFmtId="0" fontId="10" fillId="0" borderId="29" xfId="0" applyFont="1" applyBorder="1" applyAlignment="1">
      <alignment horizontal="center" vertical="center" wrapText="1"/>
    </xf>
    <xf numFmtId="2" fontId="10" fillId="0" borderId="33" xfId="0" applyNumberFormat="1" applyFont="1" applyBorder="1" applyAlignment="1">
      <alignment vertical="top" wrapText="1"/>
    </xf>
    <xf numFmtId="0" fontId="10" fillId="0" borderId="25" xfId="0" applyFont="1" applyBorder="1" applyAlignment="1">
      <alignment horizontal="left" vertical="center" wrapText="1"/>
    </xf>
    <xf numFmtId="0" fontId="10" fillId="0" borderId="50" xfId="0" applyFont="1" applyBorder="1" applyAlignment="1">
      <alignment horizontal="center" vertical="center" wrapText="1"/>
    </xf>
    <xf numFmtId="2" fontId="10" fillId="0" borderId="27" xfId="0" applyNumberFormat="1" applyFont="1" applyBorder="1" applyAlignment="1">
      <alignment vertical="top" wrapText="1"/>
    </xf>
    <xf numFmtId="0" fontId="4" fillId="12" borderId="12" xfId="0" applyFont="1" applyFill="1" applyBorder="1" applyAlignment="1">
      <alignment horizontal="center" vertical="center" wrapText="1"/>
    </xf>
    <xf numFmtId="0" fontId="10" fillId="0" borderId="29" xfId="0" applyFont="1" applyBorder="1" applyAlignment="1">
      <alignment horizontal="center" vertical="center"/>
    </xf>
    <xf numFmtId="0" fontId="4" fillId="12" borderId="2" xfId="0" applyFont="1" applyFill="1" applyBorder="1" applyAlignment="1">
      <alignment horizontal="center" vertical="center" wrapText="1"/>
    </xf>
    <xf numFmtId="0" fontId="10" fillId="0" borderId="17" xfId="0" applyFont="1" applyBorder="1" applyAlignment="1">
      <alignment vertical="center" wrapText="1"/>
    </xf>
    <xf numFmtId="0" fontId="10" fillId="0" borderId="34" xfId="0" applyFont="1" applyBorder="1" applyAlignment="1">
      <alignment horizontal="left" vertical="center" wrapText="1"/>
    </xf>
    <xf numFmtId="0" fontId="10" fillId="0" borderId="51" xfId="0" applyFont="1" applyBorder="1" applyAlignment="1">
      <alignment horizontal="center" vertical="center" wrapText="1"/>
    </xf>
    <xf numFmtId="2" fontId="10" fillId="0" borderId="52" xfId="0" applyNumberFormat="1" applyFont="1" applyBorder="1" applyAlignment="1">
      <alignment vertical="top" wrapText="1"/>
    </xf>
    <xf numFmtId="1" fontId="10" fillId="0" borderId="14" xfId="3" applyNumberFormat="1" applyFont="1" applyFill="1" applyAlignment="1">
      <alignment horizontal="center" vertical="center" wrapText="1"/>
    </xf>
    <xf numFmtId="0" fontId="14" fillId="2" borderId="5" xfId="0" applyFont="1" applyFill="1" applyBorder="1" applyAlignment="1">
      <alignment horizontal="left" vertical="center"/>
    </xf>
    <xf numFmtId="0" fontId="10" fillId="2" borderId="0" xfId="0" applyFont="1" applyFill="1"/>
    <xf numFmtId="0" fontId="10" fillId="2" borderId="6" xfId="0" applyFont="1" applyFill="1" applyBorder="1" applyAlignment="1">
      <alignment wrapText="1"/>
    </xf>
    <xf numFmtId="0" fontId="14" fillId="0" borderId="5" xfId="0" applyFont="1" applyBorder="1" applyAlignment="1">
      <alignment vertical="center"/>
    </xf>
    <xf numFmtId="1" fontId="10" fillId="0" borderId="19" xfId="3" applyNumberFormat="1" applyFont="1" applyFill="1" applyBorder="1" applyAlignment="1">
      <alignment horizontal="center" vertical="center" wrapText="1"/>
    </xf>
    <xf numFmtId="0" fontId="10" fillId="0" borderId="54" xfId="0" applyFont="1" applyBorder="1" applyAlignment="1">
      <alignment vertical="center" wrapText="1"/>
    </xf>
    <xf numFmtId="0" fontId="16" fillId="0" borderId="21" xfId="6" applyFont="1" applyFill="1" applyBorder="1" applyAlignment="1">
      <alignment horizontal="left" vertical="center" wrapText="1"/>
    </xf>
    <xf numFmtId="0" fontId="10" fillId="0" borderId="37" xfId="0" applyFont="1" applyBorder="1" applyAlignment="1">
      <alignment vertical="center" wrapText="1"/>
    </xf>
    <xf numFmtId="165" fontId="10" fillId="0" borderId="38" xfId="3" applyNumberFormat="1" applyFont="1" applyFill="1" applyBorder="1" applyAlignment="1">
      <alignment horizontal="center" vertical="center" wrapText="1"/>
    </xf>
    <xf numFmtId="1" fontId="10" fillId="0" borderId="55" xfId="3" applyNumberFormat="1" applyFont="1" applyFill="1" applyBorder="1" applyAlignment="1">
      <alignment horizontal="center" vertical="center" wrapText="1"/>
    </xf>
    <xf numFmtId="0" fontId="10" fillId="0" borderId="39" xfId="0" applyFont="1" applyBorder="1" applyAlignment="1">
      <alignment horizontal="center" vertical="center" wrapText="1"/>
    </xf>
    <xf numFmtId="0" fontId="10" fillId="0" borderId="56" xfId="6" applyFont="1" applyFill="1" applyBorder="1" applyAlignment="1">
      <alignment horizontal="left" vertical="center" wrapText="1"/>
    </xf>
    <xf numFmtId="0" fontId="10" fillId="0" borderId="14" xfId="3" applyNumberFormat="1" applyFont="1" applyFill="1" applyAlignment="1">
      <alignment horizontal="center" vertical="center" wrapText="1"/>
    </xf>
    <xf numFmtId="0" fontId="14" fillId="0" borderId="5" xfId="0" applyFont="1" applyBorder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4" fillId="0" borderId="6" xfId="0" applyFont="1" applyBorder="1" applyAlignment="1">
      <alignment horizontal="left" vertical="center"/>
    </xf>
    <xf numFmtId="0" fontId="10" fillId="0" borderId="5" xfId="0" applyFont="1" applyBorder="1"/>
    <xf numFmtId="0" fontId="10" fillId="0" borderId="6" xfId="0" applyFont="1" applyBorder="1" applyAlignment="1">
      <alignment wrapText="1"/>
    </xf>
    <xf numFmtId="0" fontId="10" fillId="0" borderId="60" xfId="0" applyFont="1" applyBorder="1" applyAlignment="1">
      <alignment vertical="center"/>
    </xf>
    <xf numFmtId="0" fontId="10" fillId="0" borderId="43" xfId="3" applyFont="1" applyFill="1" applyBorder="1" applyAlignment="1">
      <alignment horizontal="center" vertical="center" wrapText="1"/>
    </xf>
    <xf numFmtId="0" fontId="10" fillId="0" borderId="29" xfId="3" applyFont="1" applyFill="1" applyBorder="1" applyAlignment="1">
      <alignment horizontal="center" vertical="center" wrapText="1"/>
    </xf>
    <xf numFmtId="165" fontId="10" fillId="0" borderId="58" xfId="3" applyNumberFormat="1" applyFont="1" applyFill="1" applyBorder="1" applyAlignment="1">
      <alignment horizontal="center" vertical="center" wrapText="1"/>
    </xf>
    <xf numFmtId="0" fontId="10" fillId="0" borderId="59" xfId="0" applyFont="1" applyBorder="1" applyAlignment="1">
      <alignment horizontal="center" vertical="center" wrapText="1"/>
    </xf>
    <xf numFmtId="0" fontId="10" fillId="0" borderId="57" xfId="0" applyFont="1" applyBorder="1" applyAlignment="1">
      <alignment horizontal="center" vertical="center" wrapText="1"/>
    </xf>
    <xf numFmtId="0" fontId="10" fillId="0" borderId="14" xfId="3" applyFont="1" applyFill="1" applyAlignment="1">
      <alignment horizontal="center" vertical="center" wrapText="1"/>
    </xf>
    <xf numFmtId="0" fontId="10" fillId="0" borderId="33" xfId="3" applyFont="1" applyFill="1" applyBorder="1" applyAlignment="1">
      <alignment horizontal="center" vertical="center" wrapText="1"/>
    </xf>
    <xf numFmtId="0" fontId="16" fillId="0" borderId="33" xfId="6" applyFont="1" applyFill="1" applyBorder="1" applyAlignment="1">
      <alignment horizontal="left" vertical="center" wrapText="1"/>
    </xf>
    <xf numFmtId="2" fontId="10" fillId="0" borderId="33" xfId="0" applyNumberFormat="1" applyFont="1" applyBorder="1" applyAlignment="1">
      <alignment horizontal="justify" vertical="center" wrapText="1"/>
    </xf>
    <xf numFmtId="0" fontId="10" fillId="0" borderId="22" xfId="0" applyFont="1" applyBorder="1" applyAlignment="1">
      <alignment vertical="center" wrapText="1"/>
    </xf>
    <xf numFmtId="0" fontId="10" fillId="0" borderId="24" xfId="3" applyFont="1" applyFill="1" applyBorder="1" applyAlignment="1">
      <alignment horizontal="center" vertical="center" wrapText="1"/>
    </xf>
    <xf numFmtId="0" fontId="10" fillId="0" borderId="61" xfId="0" applyFont="1" applyBorder="1" applyAlignment="1">
      <alignment horizontal="left" vertical="center" wrapText="1"/>
    </xf>
    <xf numFmtId="2" fontId="10" fillId="0" borderId="44" xfId="3" applyNumberFormat="1" applyFont="1" applyFill="1" applyBorder="1" applyAlignment="1">
      <alignment horizontal="center" vertical="center" wrapText="1"/>
    </xf>
    <xf numFmtId="165" fontId="10" fillId="0" borderId="44" xfId="3" applyNumberFormat="1" applyFont="1" applyFill="1" applyBorder="1" applyAlignment="1">
      <alignment horizontal="center" vertical="center" wrapText="1"/>
    </xf>
    <xf numFmtId="0" fontId="10" fillId="0" borderId="44" xfId="0" applyFont="1" applyBorder="1" applyAlignment="1">
      <alignment horizontal="center" vertical="center" wrapText="1"/>
    </xf>
    <xf numFmtId="0" fontId="16" fillId="0" borderId="62" xfId="6" applyFont="1" applyFill="1" applyBorder="1" applyAlignment="1">
      <alignment horizontal="left" vertical="center" wrapText="1"/>
    </xf>
    <xf numFmtId="0" fontId="10" fillId="0" borderId="63" xfId="0" applyFont="1" applyBorder="1" applyAlignment="1">
      <alignment horizontal="justify" vertical="center" wrapText="1"/>
    </xf>
    <xf numFmtId="0" fontId="16" fillId="0" borderId="65" xfId="6" applyFont="1" applyFill="1" applyBorder="1" applyAlignment="1">
      <alignment horizontal="left" vertical="center" wrapText="1"/>
    </xf>
    <xf numFmtId="2" fontId="10" fillId="0" borderId="62" xfId="0" applyNumberFormat="1" applyFont="1" applyBorder="1" applyAlignment="1">
      <alignment horizontal="left" vertical="center" wrapText="1"/>
    </xf>
    <xf numFmtId="0" fontId="10" fillId="0" borderId="29" xfId="3" applyNumberFormat="1" applyFont="1" applyFill="1" applyBorder="1" applyAlignment="1">
      <alignment horizontal="center" vertical="center" wrapText="1"/>
    </xf>
    <xf numFmtId="1" fontId="10" fillId="0" borderId="29" xfId="3" applyNumberFormat="1" applyFont="1" applyFill="1" applyBorder="1" applyAlignment="1">
      <alignment horizontal="center" vertical="center" wrapText="1"/>
    </xf>
    <xf numFmtId="0" fontId="16" fillId="0" borderId="24" xfId="6" applyFont="1" applyFill="1" applyBorder="1" applyAlignment="1">
      <alignment horizontal="justify" vertical="center" wrapText="1"/>
    </xf>
    <xf numFmtId="1" fontId="10" fillId="0" borderId="58" xfId="2" applyNumberFormat="1" applyFont="1" applyFill="1" applyBorder="1" applyAlignment="1">
      <alignment horizontal="center" vertical="center" wrapText="1"/>
    </xf>
    <xf numFmtId="0" fontId="16" fillId="0" borderId="30" xfId="6" applyFont="1" applyFill="1" applyBorder="1" applyAlignment="1">
      <alignment horizontal="justify" vertical="center" wrapText="1"/>
    </xf>
    <xf numFmtId="1" fontId="10" fillId="0" borderId="64" xfId="3" applyNumberFormat="1" applyFont="1" applyFill="1" applyBorder="1" applyAlignment="1">
      <alignment horizontal="center" vertical="center" wrapText="1"/>
    </xf>
    <xf numFmtId="0" fontId="10" fillId="0" borderId="69" xfId="0" applyFont="1" applyBorder="1" applyAlignment="1">
      <alignment horizontal="center" vertical="center" wrapText="1"/>
    </xf>
    <xf numFmtId="0" fontId="16" fillId="0" borderId="30" xfId="6" applyFont="1" applyFill="1" applyBorder="1" applyAlignment="1">
      <alignment horizontal="left" vertical="center" wrapText="1"/>
    </xf>
    <xf numFmtId="1" fontId="10" fillId="0" borderId="29" xfId="2" applyNumberFormat="1" applyFont="1" applyFill="1" applyBorder="1" applyAlignment="1">
      <alignment horizontal="center" vertical="center" wrapText="1"/>
    </xf>
    <xf numFmtId="0" fontId="20" fillId="0" borderId="0" xfId="0" applyFont="1"/>
    <xf numFmtId="0" fontId="18" fillId="7" borderId="12" xfId="0" applyFont="1" applyFill="1" applyBorder="1" applyAlignment="1">
      <alignment horizontal="center"/>
    </xf>
    <xf numFmtId="0" fontId="4" fillId="7" borderId="2" xfId="0" applyFont="1" applyFill="1" applyBorder="1" applyAlignment="1">
      <alignment horizontal="center" vertical="center" wrapText="1"/>
    </xf>
    <xf numFmtId="0" fontId="4" fillId="7" borderId="12" xfId="0" applyFont="1" applyFill="1" applyBorder="1" applyAlignment="1">
      <alignment horizontal="center" vertical="center" wrapText="1"/>
    </xf>
    <xf numFmtId="1" fontId="10" fillId="0" borderId="20" xfId="3" applyNumberFormat="1" applyFont="1" applyFill="1" applyBorder="1" applyAlignment="1">
      <alignment horizontal="center" vertical="center" wrapText="1"/>
    </xf>
    <xf numFmtId="0" fontId="10" fillId="0" borderId="20" xfId="3" applyFont="1" applyFill="1" applyBorder="1" applyAlignment="1">
      <alignment horizontal="center" vertical="center" wrapText="1"/>
    </xf>
    <xf numFmtId="2" fontId="10" fillId="0" borderId="33" xfId="0" applyNumberFormat="1" applyFont="1" applyBorder="1" applyAlignment="1">
      <alignment horizontal="left" vertical="center" wrapText="1"/>
    </xf>
    <xf numFmtId="0" fontId="16" fillId="0" borderId="33" xfId="6" applyFont="1" applyFill="1" applyBorder="1" applyAlignment="1">
      <alignment horizontal="justify" vertical="center" wrapText="1"/>
    </xf>
    <xf numFmtId="165" fontId="10" fillId="0" borderId="29" xfId="3" applyNumberFormat="1" applyFont="1" applyFill="1" applyBorder="1" applyAlignment="1">
      <alignment horizontal="center" vertical="center" wrapText="1"/>
    </xf>
    <xf numFmtId="9" fontId="10" fillId="0" borderId="29" xfId="3" applyNumberFormat="1" applyFont="1" applyFill="1" applyBorder="1" applyAlignment="1">
      <alignment horizontal="center" vertical="center" wrapText="1"/>
    </xf>
    <xf numFmtId="2" fontId="10" fillId="0" borderId="29" xfId="3" applyNumberFormat="1" applyFont="1" applyFill="1" applyBorder="1" applyAlignment="1">
      <alignment horizontal="center" vertical="center" wrapText="1"/>
    </xf>
    <xf numFmtId="9" fontId="10" fillId="0" borderId="29" xfId="1" applyFont="1" applyFill="1" applyBorder="1" applyAlignment="1">
      <alignment horizontal="center" vertical="center" wrapText="1"/>
    </xf>
    <xf numFmtId="0" fontId="10" fillId="0" borderId="33" xfId="0" applyFont="1" applyBorder="1" applyAlignment="1">
      <alignment horizontal="justify" vertical="center" wrapText="1"/>
    </xf>
    <xf numFmtId="0" fontId="10" fillId="0" borderId="32" xfId="0" applyFont="1" applyBorder="1" applyAlignment="1">
      <alignment horizontal="left" vertical="center" wrapText="1" indent="2"/>
    </xf>
    <xf numFmtId="9" fontId="10" fillId="0" borderId="32" xfId="0" applyNumberFormat="1" applyFont="1" applyBorder="1" applyAlignment="1">
      <alignment horizontal="left" vertical="center" wrapText="1"/>
    </xf>
    <xf numFmtId="0" fontId="10" fillId="0" borderId="6" xfId="0" applyFont="1" applyBorder="1"/>
    <xf numFmtId="0" fontId="10" fillId="0" borderId="33" xfId="0" applyFont="1" applyBorder="1" applyAlignment="1">
      <alignment horizontal="left" vertical="center" wrapText="1"/>
    </xf>
    <xf numFmtId="2" fontId="10" fillId="0" borderId="27" xfId="0" applyNumberFormat="1" applyFont="1" applyBorder="1" applyAlignment="1">
      <alignment horizontal="left" vertical="center" wrapText="1"/>
    </xf>
    <xf numFmtId="0" fontId="10" fillId="0" borderId="33" xfId="6" applyFont="1" applyFill="1" applyBorder="1" applyAlignment="1">
      <alignment horizontal="left" vertical="center" wrapText="1"/>
    </xf>
    <xf numFmtId="0" fontId="4" fillId="5" borderId="50" xfId="0" applyFont="1" applyFill="1" applyBorder="1" applyAlignment="1">
      <alignment horizontal="center" vertical="center" wrapText="1"/>
    </xf>
    <xf numFmtId="0" fontId="4" fillId="12" borderId="50" xfId="0" applyFont="1" applyFill="1" applyBorder="1" applyAlignment="1">
      <alignment horizontal="center" vertical="center" wrapText="1"/>
    </xf>
    <xf numFmtId="0" fontId="22" fillId="5" borderId="2" xfId="0" applyFont="1" applyFill="1" applyBorder="1" applyAlignment="1">
      <alignment horizontal="center" vertical="center" wrapText="1"/>
    </xf>
    <xf numFmtId="0" fontId="22" fillId="5" borderId="12" xfId="0" applyFont="1" applyFill="1" applyBorder="1" applyAlignment="1">
      <alignment horizontal="center" vertical="center" wrapText="1"/>
    </xf>
    <xf numFmtId="2" fontId="10" fillId="0" borderId="14" xfId="5" applyNumberFormat="1" applyFont="1" applyFill="1" applyAlignment="1">
      <alignment horizontal="center" vertical="center" wrapText="1"/>
    </xf>
    <xf numFmtId="1" fontId="10" fillId="0" borderId="14" xfId="5" applyNumberFormat="1" applyFont="1" applyFill="1" applyAlignment="1">
      <alignment horizontal="center" vertical="center" wrapText="1"/>
    </xf>
    <xf numFmtId="1" fontId="10" fillId="0" borderId="38" xfId="5" applyNumberFormat="1" applyFont="1" applyFill="1" applyBorder="1" applyAlignment="1">
      <alignment horizontal="center" vertical="center" wrapText="1"/>
    </xf>
    <xf numFmtId="1" fontId="10" fillId="0" borderId="38" xfId="2" applyNumberFormat="1" applyFont="1" applyFill="1" applyBorder="1" applyAlignment="1">
      <alignment horizontal="center" vertical="center" wrapText="1"/>
    </xf>
    <xf numFmtId="165" fontId="10" fillId="0" borderId="14" xfId="5" applyNumberFormat="1" applyFont="1" applyFill="1" applyAlignment="1">
      <alignment horizontal="center" vertical="center" wrapText="1"/>
    </xf>
    <xf numFmtId="1" fontId="10" fillId="13" borderId="14" xfId="5" applyNumberFormat="1" applyFont="1" applyFill="1" applyAlignment="1">
      <alignment horizontal="center" vertical="center" wrapText="1"/>
    </xf>
    <xf numFmtId="1" fontId="10" fillId="13" borderId="40" xfId="5" applyNumberFormat="1" applyFont="1" applyFill="1" applyBorder="1" applyAlignment="1">
      <alignment horizontal="center" vertical="center" wrapText="1"/>
    </xf>
    <xf numFmtId="2" fontId="10" fillId="13" borderId="40" xfId="5" applyNumberFormat="1" applyFont="1" applyFill="1" applyBorder="1" applyAlignment="1">
      <alignment horizontal="center" vertical="center" wrapText="1"/>
    </xf>
    <xf numFmtId="0" fontId="16" fillId="0" borderId="0" xfId="6" applyFont="1" applyFill="1" applyBorder="1" applyAlignment="1">
      <alignment vertical="center"/>
    </xf>
    <xf numFmtId="0" fontId="10" fillId="0" borderId="24" xfId="0" applyFont="1" applyBorder="1" applyAlignment="1">
      <alignment horizontal="center" vertical="center" wrapText="1"/>
    </xf>
    <xf numFmtId="0" fontId="10" fillId="0" borderId="33" xfId="0" applyFont="1" applyBorder="1" applyAlignment="1">
      <alignment horizontal="center" vertical="center" wrapText="1"/>
    </xf>
    <xf numFmtId="0" fontId="10" fillId="0" borderId="27" xfId="0" applyFont="1" applyBorder="1" applyAlignment="1">
      <alignment horizontal="center" vertical="center" wrapText="1"/>
    </xf>
    <xf numFmtId="165" fontId="10" fillId="13" borderId="40" xfId="3" applyNumberFormat="1" applyFont="1" applyFill="1" applyBorder="1" applyAlignment="1">
      <alignment horizontal="center" vertical="center" wrapText="1"/>
    </xf>
    <xf numFmtId="165" fontId="10" fillId="13" borderId="14" xfId="3" applyNumberFormat="1" applyFont="1" applyFill="1" applyAlignment="1">
      <alignment horizontal="center" vertical="center" wrapText="1"/>
    </xf>
    <xf numFmtId="0" fontId="5" fillId="0" borderId="0" xfId="0" applyFont="1"/>
    <xf numFmtId="0" fontId="4" fillId="6" borderId="12" xfId="0" applyFont="1" applyFill="1" applyBorder="1" applyAlignment="1">
      <alignment horizontal="center" vertical="center" wrapText="1"/>
    </xf>
    <xf numFmtId="0" fontId="4" fillId="6" borderId="2" xfId="0" applyFont="1" applyFill="1" applyBorder="1" applyAlignment="1">
      <alignment horizontal="center" vertical="center" wrapText="1"/>
    </xf>
    <xf numFmtId="0" fontId="5" fillId="6" borderId="12" xfId="0" applyFont="1" applyFill="1" applyBorder="1" applyAlignment="1">
      <alignment horizontal="center" vertical="center" wrapText="1"/>
    </xf>
    <xf numFmtId="0" fontId="5" fillId="6" borderId="2" xfId="0" applyFont="1" applyFill="1" applyBorder="1" applyAlignment="1">
      <alignment horizontal="center" vertical="center" wrapText="1"/>
    </xf>
    <xf numFmtId="165" fontId="10" fillId="0" borderId="29" xfId="5" applyNumberFormat="1" applyFont="1" applyFill="1" applyBorder="1" applyAlignment="1">
      <alignment horizontal="center" vertical="center" wrapText="1"/>
    </xf>
    <xf numFmtId="2" fontId="10" fillId="0" borderId="44" xfId="5" applyNumberFormat="1" applyFont="1" applyFill="1" applyBorder="1" applyAlignment="1">
      <alignment horizontal="center" vertical="center" wrapText="1"/>
    </xf>
    <xf numFmtId="2" fontId="10" fillId="0" borderId="15" xfId="4" applyNumberFormat="1" applyFont="1" applyFill="1" applyAlignment="1">
      <alignment horizontal="center" vertical="center" wrapText="1"/>
    </xf>
    <xf numFmtId="2" fontId="10" fillId="0" borderId="42" xfId="5" applyNumberFormat="1" applyFont="1" applyFill="1" applyBorder="1" applyAlignment="1">
      <alignment horizontal="center" vertical="center" wrapText="1"/>
    </xf>
    <xf numFmtId="165" fontId="10" fillId="0" borderId="48" xfId="5" applyNumberFormat="1" applyFont="1" applyFill="1" applyBorder="1" applyAlignment="1">
      <alignment horizontal="center" vertical="center" wrapText="1"/>
    </xf>
    <xf numFmtId="1" fontId="10" fillId="0" borderId="48" xfId="5" applyNumberFormat="1" applyFont="1" applyFill="1" applyBorder="1" applyAlignment="1">
      <alignment horizontal="center" vertical="center" wrapText="1"/>
    </xf>
    <xf numFmtId="1" fontId="10" fillId="0" borderId="42" xfId="5" applyNumberFormat="1" applyFont="1" applyFill="1" applyBorder="1" applyAlignment="1">
      <alignment horizontal="center" vertical="center" wrapText="1"/>
    </xf>
    <xf numFmtId="165" fontId="10" fillId="0" borderId="43" xfId="5" applyNumberFormat="1" applyFont="1" applyFill="1" applyBorder="1" applyAlignment="1">
      <alignment horizontal="center" vertical="center" wrapText="1"/>
    </xf>
    <xf numFmtId="165" fontId="10" fillId="0" borderId="42" xfId="2" applyNumberFormat="1" applyFont="1" applyFill="1" applyBorder="1" applyAlignment="1">
      <alignment horizontal="center" vertical="center" wrapText="1"/>
    </xf>
    <xf numFmtId="0" fontId="10" fillId="0" borderId="0" xfId="0" applyFont="1" applyAlignment="1">
      <alignment vertical="center"/>
    </xf>
    <xf numFmtId="2" fontId="10" fillId="0" borderId="29" xfId="5" applyNumberFormat="1" applyFont="1" applyFill="1" applyBorder="1" applyAlignment="1">
      <alignment horizontal="center" vertical="center" wrapText="1"/>
    </xf>
    <xf numFmtId="166" fontId="10" fillId="13" borderId="29" xfId="5" applyNumberFormat="1" applyFont="1" applyFill="1" applyBorder="1" applyAlignment="1">
      <alignment horizontal="center" vertical="center" wrapText="1"/>
    </xf>
    <xf numFmtId="2" fontId="10" fillId="13" borderId="29" xfId="5" applyNumberFormat="1" applyFont="1" applyFill="1" applyBorder="1" applyAlignment="1">
      <alignment horizontal="center" vertical="center" wrapText="1"/>
    </xf>
    <xf numFmtId="2" fontId="10" fillId="13" borderId="51" xfId="5" applyNumberFormat="1" applyFont="1" applyFill="1" applyBorder="1" applyAlignment="1">
      <alignment horizontal="center" vertical="center" wrapText="1"/>
    </xf>
    <xf numFmtId="2" fontId="10" fillId="13" borderId="50" xfId="5" applyNumberFormat="1" applyFont="1" applyFill="1" applyBorder="1" applyAlignment="1">
      <alignment horizontal="center" vertical="center" wrapText="1"/>
    </xf>
    <xf numFmtId="2" fontId="10" fillId="13" borderId="42" xfId="5" applyNumberFormat="1" applyFont="1" applyFill="1" applyBorder="1" applyAlignment="1">
      <alignment horizontal="center" vertical="center" wrapText="1"/>
    </xf>
    <xf numFmtId="165" fontId="10" fillId="13" borderId="42" xfId="5" applyNumberFormat="1" applyFont="1" applyFill="1" applyBorder="1" applyAlignment="1">
      <alignment horizontal="center" vertical="center" wrapText="1"/>
    </xf>
    <xf numFmtId="1" fontId="10" fillId="13" borderId="42" xfId="5" applyNumberFormat="1" applyFont="1" applyFill="1" applyBorder="1" applyAlignment="1">
      <alignment horizontal="center" vertical="center" wrapText="1"/>
    </xf>
    <xf numFmtId="1" fontId="10" fillId="13" borderId="48" xfId="5" applyNumberFormat="1" applyFont="1" applyFill="1" applyBorder="1" applyAlignment="1">
      <alignment horizontal="center" vertical="center" wrapText="1"/>
    </xf>
    <xf numFmtId="1" fontId="10" fillId="0" borderId="29" xfId="5" applyNumberFormat="1" applyFont="1" applyFill="1" applyBorder="1" applyAlignment="1">
      <alignment horizontal="center" vertical="center" wrapText="1"/>
    </xf>
    <xf numFmtId="1" fontId="10" fillId="0" borderId="50" xfId="5" applyNumberFormat="1" applyFont="1" applyFill="1" applyBorder="1" applyAlignment="1">
      <alignment horizontal="center" vertical="center" wrapText="1"/>
    </xf>
    <xf numFmtId="165" fontId="10" fillId="0" borderId="29" xfId="2" applyNumberFormat="1" applyFont="1" applyFill="1" applyBorder="1" applyAlignment="1">
      <alignment horizontal="center" vertical="center" wrapText="1"/>
    </xf>
    <xf numFmtId="167" fontId="10" fillId="0" borderId="29" xfId="5" applyNumberFormat="1" applyFont="1" applyFill="1" applyBorder="1" applyAlignment="1">
      <alignment horizontal="center" vertical="center" wrapText="1"/>
    </xf>
    <xf numFmtId="165" fontId="10" fillId="0" borderId="50" xfId="5" applyNumberFormat="1" applyFont="1" applyFill="1" applyBorder="1" applyAlignment="1">
      <alignment horizontal="center" vertical="center" wrapText="1"/>
    </xf>
    <xf numFmtId="0" fontId="5" fillId="6" borderId="50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10" fillId="0" borderId="0" xfId="0" applyFont="1" applyAlignment="1">
      <alignment horizontal="center" vertical="center"/>
    </xf>
    <xf numFmtId="9" fontId="10" fillId="0" borderId="0" xfId="0" applyNumberFormat="1" applyFont="1" applyAlignment="1">
      <alignment horizontal="center"/>
    </xf>
    <xf numFmtId="9" fontId="10" fillId="0" borderId="64" xfId="3" applyNumberFormat="1" applyFont="1" applyFill="1" applyBorder="1" applyAlignment="1">
      <alignment horizontal="center" vertical="center" wrapText="1"/>
    </xf>
    <xf numFmtId="165" fontId="10" fillId="13" borderId="29" xfId="5" applyNumberFormat="1" applyFont="1" applyFill="1" applyBorder="1" applyAlignment="1">
      <alignment horizontal="center" vertical="center" wrapText="1"/>
    </xf>
    <xf numFmtId="2" fontId="10" fillId="0" borderId="0" xfId="0" applyNumberFormat="1" applyFont="1" applyAlignment="1">
      <alignment horizontal="center"/>
    </xf>
    <xf numFmtId="2" fontId="10" fillId="0" borderId="0" xfId="0" applyNumberFormat="1" applyFont="1" applyAlignment="1">
      <alignment horizontal="center" vertical="center"/>
    </xf>
    <xf numFmtId="1" fontId="10" fillId="13" borderId="29" xfId="5" applyNumberFormat="1" applyFont="1" applyFill="1" applyBorder="1" applyAlignment="1">
      <alignment horizontal="center" vertical="center" wrapText="1"/>
    </xf>
    <xf numFmtId="1" fontId="10" fillId="13" borderId="50" xfId="5" applyNumberFormat="1" applyFont="1" applyFill="1" applyBorder="1" applyAlignment="1">
      <alignment horizontal="center" vertical="center" wrapText="1"/>
    </xf>
    <xf numFmtId="0" fontId="10" fillId="13" borderId="29" xfId="0" applyFont="1" applyFill="1" applyBorder="1" applyAlignment="1">
      <alignment horizontal="center" vertical="center" wrapText="1"/>
    </xf>
    <xf numFmtId="165" fontId="10" fillId="13" borderId="50" xfId="5" applyNumberFormat="1" applyFont="1" applyFill="1" applyBorder="1" applyAlignment="1">
      <alignment horizontal="center" vertical="center" wrapText="1"/>
    </xf>
    <xf numFmtId="2" fontId="10" fillId="13" borderId="29" xfId="3" applyNumberFormat="1" applyFont="1" applyFill="1" applyBorder="1" applyAlignment="1">
      <alignment horizontal="center" vertical="center" wrapText="1"/>
    </xf>
    <xf numFmtId="2" fontId="10" fillId="13" borderId="14" xfId="5" applyNumberFormat="1" applyFont="1" applyFill="1" applyAlignment="1">
      <alignment horizontal="center" vertical="center" wrapText="1"/>
    </xf>
    <xf numFmtId="0" fontId="4" fillId="5" borderId="2" xfId="0" applyFont="1" applyFill="1" applyBorder="1" applyAlignment="1">
      <alignment horizontal="center" vertical="center" wrapText="1"/>
    </xf>
    <xf numFmtId="0" fontId="4" fillId="5" borderId="12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2" fontId="4" fillId="5" borderId="13" xfId="0" applyNumberFormat="1" applyFont="1" applyFill="1" applyBorder="1" applyAlignment="1">
      <alignment horizontal="center" vertical="center" wrapText="1"/>
    </xf>
    <xf numFmtId="2" fontId="4" fillId="5" borderId="4" xfId="0" applyNumberFormat="1" applyFont="1" applyFill="1" applyBorder="1" applyAlignment="1">
      <alignment horizontal="center" vertical="center" wrapText="1"/>
    </xf>
    <xf numFmtId="2" fontId="10" fillId="0" borderId="0" xfId="3" applyNumberFormat="1" applyFont="1" applyFill="1" applyBorder="1" applyAlignment="1">
      <alignment horizontal="center" vertical="center" wrapText="1"/>
    </xf>
    <xf numFmtId="9" fontId="10" fillId="0" borderId="0" xfId="1" applyFont="1" applyFill="1" applyBorder="1" applyAlignment="1">
      <alignment horizontal="center" vertical="center" wrapText="1"/>
    </xf>
    <xf numFmtId="2" fontId="10" fillId="0" borderId="0" xfId="4" applyNumberFormat="1" applyFont="1" applyFill="1" applyBorder="1" applyAlignment="1">
      <alignment horizontal="center" vertical="center" wrapText="1"/>
    </xf>
    <xf numFmtId="0" fontId="10" fillId="0" borderId="0" xfId="0" applyFont="1" applyAlignment="1">
      <alignment vertical="center" wrapText="1"/>
    </xf>
    <xf numFmtId="2" fontId="10" fillId="0" borderId="0" xfId="0" applyNumberFormat="1" applyFont="1" applyAlignment="1">
      <alignment vertical="center" wrapText="1"/>
    </xf>
    <xf numFmtId="2" fontId="10" fillId="0" borderId="0" xfId="5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14" fillId="0" borderId="0" xfId="0" applyFont="1" applyAlignment="1">
      <alignment vertical="center" wrapText="1"/>
    </xf>
    <xf numFmtId="165" fontId="10" fillId="0" borderId="0" xfId="3" applyNumberFormat="1" applyFont="1" applyFill="1" applyBorder="1" applyAlignment="1">
      <alignment horizontal="center" vertical="center" wrapText="1"/>
    </xf>
    <xf numFmtId="0" fontId="16" fillId="0" borderId="0" xfId="6" applyFont="1" applyFill="1" applyBorder="1" applyAlignment="1">
      <alignment horizontal="left" vertical="center" wrapText="1"/>
    </xf>
    <xf numFmtId="165" fontId="10" fillId="0" borderId="0" xfId="5" applyNumberFormat="1" applyFont="1" applyFill="1" applyBorder="1" applyAlignment="1">
      <alignment horizontal="center" vertical="center" wrapText="1"/>
    </xf>
    <xf numFmtId="9" fontId="10" fillId="0" borderId="0" xfId="3" applyNumberFormat="1" applyFont="1" applyFill="1" applyBorder="1" applyAlignment="1">
      <alignment horizontal="center" vertical="center" wrapText="1"/>
    </xf>
    <xf numFmtId="166" fontId="10" fillId="0" borderId="0" xfId="4" applyNumberFormat="1" applyFont="1" applyFill="1" applyBorder="1" applyAlignment="1">
      <alignment horizontal="center" vertical="center" wrapText="1"/>
    </xf>
    <xf numFmtId="1" fontId="10" fillId="0" borderId="0" xfId="5" applyNumberFormat="1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0" fillId="0" borderId="0" xfId="0" applyFont="1" applyAlignment="1">
      <alignment horizontal="justify" vertical="center" wrapText="1"/>
    </xf>
    <xf numFmtId="2" fontId="10" fillId="0" borderId="0" xfId="0" applyNumberFormat="1" applyFont="1" applyAlignment="1">
      <alignment horizontal="left" vertical="center" wrapText="1"/>
    </xf>
    <xf numFmtId="2" fontId="10" fillId="0" borderId="0" xfId="0" applyNumberFormat="1" applyFont="1" applyAlignment="1">
      <alignment horizontal="justify" vertical="center" wrapText="1"/>
    </xf>
    <xf numFmtId="0" fontId="4" fillId="4" borderId="12" xfId="0" applyFont="1" applyFill="1" applyBorder="1" applyAlignment="1">
      <alignment horizontal="center" vertical="center"/>
    </xf>
    <xf numFmtId="0" fontId="4" fillId="4" borderId="13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3" fillId="0" borderId="0" xfId="0" applyFont="1" applyAlignment="1">
      <alignment horizontal="left"/>
    </xf>
    <xf numFmtId="0" fontId="4" fillId="9" borderId="1" xfId="0" applyFont="1" applyFill="1" applyBorder="1" applyAlignment="1">
      <alignment horizontal="center"/>
    </xf>
    <xf numFmtId="0" fontId="4" fillId="9" borderId="9" xfId="0" applyFont="1" applyFill="1" applyBorder="1" applyAlignment="1">
      <alignment horizontal="center"/>
    </xf>
    <xf numFmtId="2" fontId="4" fillId="9" borderId="2" xfId="0" applyNumberFormat="1" applyFont="1" applyFill="1" applyBorder="1" applyAlignment="1">
      <alignment horizontal="center"/>
    </xf>
    <xf numFmtId="0" fontId="0" fillId="0" borderId="5" xfId="0" applyBorder="1" applyAlignment="1">
      <alignment horizontal="left"/>
    </xf>
    <xf numFmtId="0" fontId="0" fillId="0" borderId="7" xfId="0" applyBorder="1" applyAlignment="1">
      <alignment horizontal="left"/>
    </xf>
    <xf numFmtId="1" fontId="0" fillId="0" borderId="10" xfId="0" applyNumberFormat="1" applyBorder="1" applyAlignment="1">
      <alignment horizontal="center"/>
    </xf>
    <xf numFmtId="1" fontId="0" fillId="0" borderId="0" xfId="0" applyNumberFormat="1" applyAlignment="1">
      <alignment horizontal="center"/>
    </xf>
    <xf numFmtId="1" fontId="0" fillId="0" borderId="11" xfId="0" applyNumberFormat="1" applyBorder="1" applyAlignment="1">
      <alignment horizontal="center"/>
    </xf>
    <xf numFmtId="2" fontId="0" fillId="0" borderId="10" xfId="0" applyNumberForma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2" fontId="4" fillId="4" borderId="9" xfId="0" applyNumberFormat="1" applyFont="1" applyFill="1" applyBorder="1" applyAlignment="1">
      <alignment horizontal="center" vertical="center"/>
    </xf>
    <xf numFmtId="2" fontId="4" fillId="4" borderId="2" xfId="0" applyNumberFormat="1" applyFont="1" applyFill="1" applyBorder="1" applyAlignment="1">
      <alignment horizontal="center" vertical="center"/>
    </xf>
    <xf numFmtId="0" fontId="4" fillId="9" borderId="3" xfId="0" applyFont="1" applyFill="1" applyBorder="1" applyAlignment="1">
      <alignment horizontal="center"/>
    </xf>
    <xf numFmtId="0" fontId="4" fillId="9" borderId="4" xfId="0" applyFont="1" applyFill="1" applyBorder="1" applyAlignment="1">
      <alignment horizontal="center"/>
    </xf>
    <xf numFmtId="0" fontId="10" fillId="0" borderId="22" xfId="0" applyFont="1" applyBorder="1" applyAlignment="1">
      <alignment horizontal="left" vertical="top" wrapText="1"/>
    </xf>
    <xf numFmtId="0" fontId="10" fillId="0" borderId="17" xfId="0" applyFont="1" applyBorder="1" applyAlignment="1">
      <alignment horizontal="left" vertical="top" wrapText="1"/>
    </xf>
    <xf numFmtId="0" fontId="4" fillId="9" borderId="1" xfId="0" applyFont="1" applyFill="1" applyBorder="1" applyAlignment="1">
      <alignment horizontal="justify" vertical="center" wrapText="1"/>
    </xf>
    <xf numFmtId="0" fontId="4" fillId="9" borderId="9" xfId="0" applyFont="1" applyFill="1" applyBorder="1" applyAlignment="1">
      <alignment horizontal="justify" vertical="center" wrapText="1"/>
    </xf>
    <xf numFmtId="0" fontId="4" fillId="9" borderId="2" xfId="0" applyFont="1" applyFill="1" applyBorder="1" applyAlignment="1">
      <alignment horizontal="justify" vertical="center" wrapText="1"/>
    </xf>
    <xf numFmtId="0" fontId="10" fillId="0" borderId="5" xfId="0" applyFont="1" applyBorder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10" fillId="0" borderId="6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justify" vertical="center" wrapText="1"/>
    </xf>
    <xf numFmtId="0" fontId="11" fillId="0" borderId="9" xfId="0" applyFont="1" applyBorder="1" applyAlignment="1">
      <alignment horizontal="justify" vertical="center" wrapText="1"/>
    </xf>
    <xf numFmtId="0" fontId="11" fillId="0" borderId="2" xfId="0" applyFont="1" applyBorder="1" applyAlignment="1">
      <alignment horizontal="justify" vertical="center" wrapText="1"/>
    </xf>
    <xf numFmtId="0" fontId="4" fillId="8" borderId="1" xfId="0" applyFont="1" applyFill="1" applyBorder="1" applyAlignment="1">
      <alignment horizontal="center" vertical="center"/>
    </xf>
    <xf numFmtId="0" fontId="4" fillId="8" borderId="9" xfId="0" applyFont="1" applyFill="1" applyBorder="1" applyAlignment="1">
      <alignment horizontal="center" vertical="center"/>
    </xf>
    <xf numFmtId="0" fontId="4" fillId="8" borderId="2" xfId="0" applyFont="1" applyFill="1" applyBorder="1" applyAlignment="1">
      <alignment horizontal="center" vertical="center"/>
    </xf>
    <xf numFmtId="0" fontId="14" fillId="0" borderId="3" xfId="0" applyFont="1" applyBorder="1" applyAlignment="1">
      <alignment horizontal="left" vertical="center" wrapText="1"/>
    </xf>
    <xf numFmtId="0" fontId="14" fillId="0" borderId="10" xfId="0" applyFont="1" applyBorder="1" applyAlignment="1">
      <alignment horizontal="left" vertical="center" wrapText="1"/>
    </xf>
    <xf numFmtId="0" fontId="14" fillId="0" borderId="4" xfId="0" applyFont="1" applyBorder="1" applyAlignment="1">
      <alignment horizontal="left" vertical="center" wrapText="1"/>
    </xf>
    <xf numFmtId="0" fontId="4" fillId="8" borderId="13" xfId="0" applyFont="1" applyFill="1" applyBorder="1" applyAlignment="1">
      <alignment horizontal="center" vertical="center" wrapText="1"/>
    </xf>
    <xf numFmtId="0" fontId="4" fillId="8" borderId="16" xfId="0" applyFont="1" applyFill="1" applyBorder="1" applyAlignment="1">
      <alignment horizontal="center" vertical="center" wrapText="1"/>
    </xf>
    <xf numFmtId="0" fontId="4" fillId="8" borderId="1" xfId="0" applyFont="1" applyFill="1" applyBorder="1" applyAlignment="1">
      <alignment horizontal="center" vertical="center" wrapText="1"/>
    </xf>
    <xf numFmtId="0" fontId="4" fillId="8" borderId="2" xfId="0" applyFont="1" applyFill="1" applyBorder="1" applyAlignment="1">
      <alignment horizontal="center" vertical="center" wrapText="1"/>
    </xf>
    <xf numFmtId="0" fontId="17" fillId="9" borderId="1" xfId="0" applyFont="1" applyFill="1" applyBorder="1" applyAlignment="1">
      <alignment horizontal="justify" vertical="center" wrapText="1"/>
    </xf>
    <xf numFmtId="0" fontId="17" fillId="9" borderId="9" xfId="0" applyFont="1" applyFill="1" applyBorder="1" applyAlignment="1">
      <alignment horizontal="justify" vertical="center" wrapText="1"/>
    </xf>
    <xf numFmtId="0" fontId="17" fillId="9" borderId="2" xfId="0" applyFont="1" applyFill="1" applyBorder="1" applyAlignment="1">
      <alignment horizontal="justify" vertical="center" wrapText="1"/>
    </xf>
    <xf numFmtId="0" fontId="17" fillId="5" borderId="13" xfId="0" applyFont="1" applyFill="1" applyBorder="1" applyAlignment="1">
      <alignment horizontal="center" vertical="center" wrapText="1"/>
    </xf>
    <xf numFmtId="0" fontId="17" fillId="5" borderId="16" xfId="0" applyFont="1" applyFill="1" applyBorder="1" applyAlignment="1">
      <alignment horizontal="center" vertical="center" wrapText="1"/>
    </xf>
    <xf numFmtId="0" fontId="22" fillId="5" borderId="1" xfId="0" applyFont="1" applyFill="1" applyBorder="1" applyAlignment="1">
      <alignment horizontal="center" vertical="center" wrapText="1"/>
    </xf>
    <xf numFmtId="0" fontId="22" fillId="5" borderId="2" xfId="0" applyFont="1" applyFill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4" fillId="0" borderId="9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4" fillId="9" borderId="3" xfId="0" applyFont="1" applyFill="1" applyBorder="1" applyAlignment="1">
      <alignment horizontal="justify" vertical="center" wrapText="1"/>
    </xf>
    <xf numFmtId="0" fontId="4" fillId="9" borderId="10" xfId="0" applyFont="1" applyFill="1" applyBorder="1" applyAlignment="1">
      <alignment horizontal="justify" vertical="center" wrapText="1"/>
    </xf>
    <xf numFmtId="0" fontId="4" fillId="9" borderId="4" xfId="0" applyFont="1" applyFill="1" applyBorder="1" applyAlignment="1">
      <alignment horizontal="justify" vertical="center" wrapText="1"/>
    </xf>
    <xf numFmtId="0" fontId="4" fillId="6" borderId="13" xfId="0" applyFont="1" applyFill="1" applyBorder="1" applyAlignment="1">
      <alignment horizontal="center" vertical="center" wrapText="1"/>
    </xf>
    <xf numFmtId="0" fontId="4" fillId="6" borderId="1" xfId="0" applyFont="1" applyFill="1" applyBorder="1" applyAlignment="1">
      <alignment horizontal="center" vertical="center" wrapText="1"/>
    </xf>
    <xf numFmtId="0" fontId="18" fillId="6" borderId="1" xfId="0" applyFont="1" applyFill="1" applyBorder="1" applyAlignment="1">
      <alignment horizontal="center"/>
    </xf>
    <xf numFmtId="0" fontId="18" fillId="6" borderId="2" xfId="0" applyFont="1" applyFill="1" applyBorder="1" applyAlignment="1">
      <alignment horizontal="center"/>
    </xf>
    <xf numFmtId="0" fontId="4" fillId="6" borderId="1" xfId="0" applyFont="1" applyFill="1" applyBorder="1" applyAlignment="1">
      <alignment horizontal="center" vertical="center"/>
    </xf>
    <xf numFmtId="0" fontId="4" fillId="6" borderId="12" xfId="0" applyFont="1" applyFill="1" applyBorder="1" applyAlignment="1">
      <alignment horizontal="center" vertical="center"/>
    </xf>
    <xf numFmtId="0" fontId="14" fillId="0" borderId="3" xfId="0" applyFont="1" applyBorder="1" applyAlignment="1">
      <alignment horizontal="left" vertical="center"/>
    </xf>
    <xf numFmtId="0" fontId="14" fillId="0" borderId="13" xfId="0" applyFont="1" applyBorder="1" applyAlignment="1">
      <alignment horizontal="left" vertical="center"/>
    </xf>
    <xf numFmtId="0" fontId="14" fillId="0" borderId="45" xfId="0" applyFont="1" applyBorder="1" applyAlignment="1">
      <alignment horizontal="justify" vertical="center" wrapText="1"/>
    </xf>
    <xf numFmtId="0" fontId="14" fillId="0" borderId="42" xfId="0" applyFont="1" applyBorder="1" applyAlignment="1">
      <alignment horizontal="justify" vertical="center" wrapText="1"/>
    </xf>
    <xf numFmtId="0" fontId="14" fillId="0" borderId="46" xfId="0" applyFont="1" applyBorder="1" applyAlignment="1">
      <alignment horizontal="justify" vertical="center" wrapText="1"/>
    </xf>
    <xf numFmtId="0" fontId="4" fillId="5" borderId="1" xfId="0" applyFont="1" applyFill="1" applyBorder="1" applyAlignment="1">
      <alignment horizontal="center" vertical="center"/>
    </xf>
    <xf numFmtId="0" fontId="4" fillId="5" borderId="12" xfId="0" applyFont="1" applyFill="1" applyBorder="1" applyAlignment="1">
      <alignment horizontal="center" vertical="center"/>
    </xf>
    <xf numFmtId="0" fontId="4" fillId="5" borderId="13" xfId="0" applyFont="1" applyFill="1" applyBorder="1" applyAlignment="1">
      <alignment horizontal="center" vertical="center" wrapText="1"/>
    </xf>
    <xf numFmtId="2" fontId="4" fillId="5" borderId="1" xfId="0" applyNumberFormat="1" applyFont="1" applyFill="1" applyBorder="1" applyAlignment="1">
      <alignment horizontal="center" vertical="center" wrapText="1"/>
    </xf>
    <xf numFmtId="0" fontId="14" fillId="0" borderId="66" xfId="0" applyFont="1" applyBorder="1" applyAlignment="1">
      <alignment horizontal="justify" vertical="center" wrapText="1"/>
    </xf>
    <xf numFmtId="0" fontId="14" fillId="0" borderId="67" xfId="0" applyFont="1" applyBorder="1" applyAlignment="1">
      <alignment horizontal="justify" vertical="center" wrapText="1"/>
    </xf>
    <xf numFmtId="0" fontId="14" fillId="0" borderId="68" xfId="0" applyFont="1" applyBorder="1" applyAlignment="1">
      <alignment horizontal="justify" vertical="center" wrapText="1"/>
    </xf>
    <xf numFmtId="0" fontId="18" fillId="12" borderId="1" xfId="0" applyFont="1" applyFill="1" applyBorder="1" applyAlignment="1">
      <alignment horizontal="center"/>
    </xf>
    <xf numFmtId="0" fontId="18" fillId="12" borderId="2" xfId="0" applyFont="1" applyFill="1" applyBorder="1" applyAlignment="1">
      <alignment horizontal="center"/>
    </xf>
    <xf numFmtId="0" fontId="4" fillId="9" borderId="8" xfId="0" applyFont="1" applyFill="1" applyBorder="1" applyAlignment="1">
      <alignment horizontal="justify" vertical="center" wrapText="1"/>
    </xf>
    <xf numFmtId="0" fontId="4" fillId="9" borderId="5" xfId="0" applyFont="1" applyFill="1" applyBorder="1" applyAlignment="1">
      <alignment horizontal="justify" vertical="center" wrapText="1"/>
    </xf>
    <xf numFmtId="0" fontId="4" fillId="9" borderId="11" xfId="0" applyFont="1" applyFill="1" applyBorder="1" applyAlignment="1">
      <alignment horizontal="justify" vertical="center" wrapText="1"/>
    </xf>
    <xf numFmtId="0" fontId="4" fillId="9" borderId="12" xfId="0" applyFont="1" applyFill="1" applyBorder="1" applyAlignment="1">
      <alignment horizontal="justify" vertical="center" wrapText="1"/>
    </xf>
    <xf numFmtId="0" fontId="4" fillId="6" borderId="9" xfId="0" applyFont="1" applyFill="1" applyBorder="1" applyAlignment="1">
      <alignment horizontal="center" vertical="center"/>
    </xf>
    <xf numFmtId="0" fontId="4" fillId="6" borderId="2" xfId="0" applyFont="1" applyFill="1" applyBorder="1" applyAlignment="1">
      <alignment horizontal="center" vertical="center"/>
    </xf>
    <xf numFmtId="0" fontId="4" fillId="6" borderId="16" xfId="0" applyFont="1" applyFill="1" applyBorder="1" applyAlignment="1">
      <alignment horizontal="center" vertical="center" wrapText="1"/>
    </xf>
    <xf numFmtId="0" fontId="5" fillId="6" borderId="1" xfId="0" applyFont="1" applyFill="1" applyBorder="1" applyAlignment="1">
      <alignment horizontal="center" vertical="center" wrapText="1"/>
    </xf>
    <xf numFmtId="0" fontId="5" fillId="6" borderId="2" xfId="0" applyFont="1" applyFill="1" applyBorder="1" applyAlignment="1">
      <alignment horizontal="center" vertical="center" wrapText="1"/>
    </xf>
    <xf numFmtId="0" fontId="14" fillId="0" borderId="10" xfId="0" applyFont="1" applyBorder="1" applyAlignment="1">
      <alignment horizontal="left" vertical="center"/>
    </xf>
    <xf numFmtId="0" fontId="14" fillId="0" borderId="4" xfId="0" applyFont="1" applyBorder="1" applyAlignment="1">
      <alignment horizontal="left" vertical="center"/>
    </xf>
    <xf numFmtId="0" fontId="10" fillId="0" borderId="5" xfId="0" applyFont="1" applyBorder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0" fillId="0" borderId="6" xfId="0" applyFont="1" applyBorder="1" applyAlignment="1">
      <alignment horizontal="left" vertical="center"/>
    </xf>
    <xf numFmtId="0" fontId="4" fillId="12" borderId="13" xfId="0" applyFont="1" applyFill="1" applyBorder="1" applyAlignment="1">
      <alignment horizontal="center" vertical="center" wrapText="1"/>
    </xf>
    <xf numFmtId="0" fontId="4" fillId="12" borderId="12" xfId="0" applyFont="1" applyFill="1" applyBorder="1" applyAlignment="1">
      <alignment horizontal="center" vertical="center" wrapText="1"/>
    </xf>
    <xf numFmtId="0" fontId="4" fillId="12" borderId="1" xfId="0" applyFont="1" applyFill="1" applyBorder="1" applyAlignment="1">
      <alignment horizontal="center" vertical="center" wrapText="1"/>
    </xf>
    <xf numFmtId="0" fontId="4" fillId="9" borderId="37" xfId="0" applyFont="1" applyFill="1" applyBorder="1" applyAlignment="1">
      <alignment horizontal="justify" vertical="center" wrapText="1"/>
    </xf>
    <xf numFmtId="0" fontId="4" fillId="9" borderId="39" xfId="0" applyFont="1" applyFill="1" applyBorder="1" applyAlignment="1">
      <alignment horizontal="justify" vertical="center" wrapText="1"/>
    </xf>
    <xf numFmtId="0" fontId="4" fillId="9" borderId="53" xfId="0" applyFont="1" applyFill="1" applyBorder="1" applyAlignment="1">
      <alignment horizontal="justify" vertical="center" wrapText="1"/>
    </xf>
    <xf numFmtId="0" fontId="4" fillId="9" borderId="32" xfId="0" applyFont="1" applyFill="1" applyBorder="1" applyAlignment="1">
      <alignment horizontal="justify" vertical="center" wrapText="1"/>
    </xf>
    <xf numFmtId="0" fontId="4" fillId="9" borderId="29" xfId="0" applyFont="1" applyFill="1" applyBorder="1" applyAlignment="1">
      <alignment horizontal="justify" vertical="center" wrapText="1"/>
    </xf>
    <xf numFmtId="0" fontId="4" fillId="9" borderId="33" xfId="0" applyFont="1" applyFill="1" applyBorder="1" applyAlignment="1">
      <alignment horizontal="justify" vertical="center" wrapText="1"/>
    </xf>
    <xf numFmtId="0" fontId="4" fillId="12" borderId="1" xfId="0" applyFont="1" applyFill="1" applyBorder="1" applyAlignment="1">
      <alignment horizontal="center" vertical="center"/>
    </xf>
    <xf numFmtId="0" fontId="4" fillId="12" borderId="12" xfId="0" applyFont="1" applyFill="1" applyBorder="1" applyAlignment="1">
      <alignment horizontal="center" vertical="center"/>
    </xf>
    <xf numFmtId="0" fontId="10" fillId="0" borderId="41" xfId="0" applyFont="1" applyBorder="1" applyAlignment="1">
      <alignment horizontal="left" vertical="center" wrapText="1"/>
    </xf>
    <xf numFmtId="0" fontId="14" fillId="0" borderId="5" xfId="0" applyFont="1" applyBorder="1" applyAlignment="1">
      <alignment horizontal="center" vertical="center"/>
    </xf>
    <xf numFmtId="0" fontId="14" fillId="0" borderId="41" xfId="0" applyFont="1" applyBorder="1" applyAlignment="1">
      <alignment horizontal="center" vertical="center"/>
    </xf>
    <xf numFmtId="0" fontId="10" fillId="0" borderId="41" xfId="0" applyFont="1" applyBorder="1" applyAlignment="1">
      <alignment horizontal="left" vertical="center"/>
    </xf>
    <xf numFmtId="0" fontId="14" fillId="0" borderId="44" xfId="0" applyFont="1" applyBorder="1" applyAlignment="1">
      <alignment horizontal="justify" vertical="center" wrapText="1"/>
    </xf>
    <xf numFmtId="0" fontId="4" fillId="5" borderId="16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0" fontId="4" fillId="5" borderId="2" xfId="0" applyFont="1" applyFill="1" applyBorder="1" applyAlignment="1">
      <alignment horizontal="center" vertical="center" wrapText="1"/>
    </xf>
    <xf numFmtId="0" fontId="0" fillId="0" borderId="5" xfId="0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0" fillId="0" borderId="5" xfId="0" applyBorder="1" applyAlignment="1">
      <alignment horizontal="left" vertical="center" wrapText="1"/>
    </xf>
    <xf numFmtId="0" fontId="0" fillId="0" borderId="41" xfId="0" applyBorder="1" applyAlignment="1">
      <alignment horizontal="left" vertical="center" wrapText="1"/>
    </xf>
    <xf numFmtId="0" fontId="0" fillId="0" borderId="41" xfId="0" applyBorder="1" applyAlignment="1">
      <alignment horizontal="left" vertical="center"/>
    </xf>
    <xf numFmtId="0" fontId="23" fillId="0" borderId="0" xfId="0" applyFont="1" applyAlignment="1">
      <alignment horizontal="center"/>
    </xf>
    <xf numFmtId="0" fontId="18" fillId="0" borderId="0" xfId="0" applyFont="1" applyAlignment="1">
      <alignment horizontal="center"/>
    </xf>
    <xf numFmtId="0" fontId="18" fillId="12" borderId="3" xfId="0" applyFont="1" applyFill="1" applyBorder="1" applyAlignment="1">
      <alignment horizontal="center"/>
    </xf>
    <xf numFmtId="0" fontId="18" fillId="12" borderId="4" xfId="0" applyFont="1" applyFill="1" applyBorder="1" applyAlignment="1">
      <alignment horizontal="center"/>
    </xf>
    <xf numFmtId="0" fontId="18" fillId="6" borderId="3" xfId="0" applyFont="1" applyFill="1" applyBorder="1" applyAlignment="1">
      <alignment horizontal="center"/>
    </xf>
    <xf numFmtId="0" fontId="18" fillId="6" borderId="4" xfId="0" applyFont="1" applyFill="1" applyBorder="1" applyAlignment="1">
      <alignment horizontal="center"/>
    </xf>
    <xf numFmtId="0" fontId="14" fillId="0" borderId="32" xfId="0" applyFont="1" applyBorder="1" applyAlignment="1">
      <alignment horizontal="justify" vertical="center" wrapText="1"/>
    </xf>
    <xf numFmtId="0" fontId="14" fillId="0" borderId="29" xfId="0" applyFont="1" applyBorder="1" applyAlignment="1">
      <alignment horizontal="justify" vertical="center" wrapText="1"/>
    </xf>
    <xf numFmtId="0" fontId="14" fillId="0" borderId="33" xfId="0" applyFont="1" applyBorder="1" applyAlignment="1">
      <alignment horizontal="justify" vertical="center" wrapText="1"/>
    </xf>
    <xf numFmtId="0" fontId="14" fillId="0" borderId="32" xfId="0" applyFont="1" applyBorder="1" applyAlignment="1">
      <alignment horizontal="center" vertical="center" wrapText="1"/>
    </xf>
    <xf numFmtId="0" fontId="10" fillId="0" borderId="29" xfId="0" applyFont="1" applyBorder="1" applyAlignment="1">
      <alignment horizontal="center" vertical="center" wrapText="1"/>
    </xf>
    <xf numFmtId="0" fontId="14" fillId="0" borderId="29" xfId="0" applyFont="1" applyBorder="1" applyAlignment="1">
      <alignment horizontal="center" vertical="center" wrapText="1"/>
    </xf>
    <xf numFmtId="0" fontId="14" fillId="0" borderId="33" xfId="0" applyFont="1" applyBorder="1" applyAlignment="1">
      <alignment horizontal="center" vertical="center" wrapText="1"/>
    </xf>
    <xf numFmtId="0" fontId="4" fillId="6" borderId="37" xfId="0" applyFont="1" applyFill="1" applyBorder="1" applyAlignment="1">
      <alignment horizontal="center" vertical="center" wrapText="1"/>
    </xf>
    <xf numFmtId="0" fontId="4" fillId="6" borderId="25" xfId="0" applyFont="1" applyFill="1" applyBorder="1" applyAlignment="1">
      <alignment horizontal="center" vertical="center" wrapText="1"/>
    </xf>
    <xf numFmtId="0" fontId="5" fillId="6" borderId="39" xfId="0" applyFont="1" applyFill="1" applyBorder="1" applyAlignment="1">
      <alignment horizontal="center" vertical="center" wrapText="1"/>
    </xf>
    <xf numFmtId="0" fontId="4" fillId="6" borderId="39" xfId="0" applyFont="1" applyFill="1" applyBorder="1" applyAlignment="1">
      <alignment horizontal="center" vertical="center" wrapText="1"/>
    </xf>
    <xf numFmtId="0" fontId="4" fillId="6" borderId="50" xfId="0" applyFont="1" applyFill="1" applyBorder="1" applyAlignment="1">
      <alignment horizontal="center" vertical="center" wrapText="1"/>
    </xf>
    <xf numFmtId="0" fontId="4" fillId="6" borderId="53" xfId="0" applyFont="1" applyFill="1" applyBorder="1" applyAlignment="1">
      <alignment horizontal="center" vertical="center" wrapText="1"/>
    </xf>
    <xf numFmtId="0" fontId="4" fillId="6" borderId="27" xfId="0" applyFont="1" applyFill="1" applyBorder="1" applyAlignment="1">
      <alignment horizontal="center" vertical="center" wrapText="1"/>
    </xf>
    <xf numFmtId="0" fontId="4" fillId="9" borderId="17" xfId="0" applyFont="1" applyFill="1" applyBorder="1" applyAlignment="1">
      <alignment horizontal="justify" vertical="center" wrapText="1"/>
    </xf>
    <xf numFmtId="0" fontId="4" fillId="9" borderId="20" xfId="0" applyFont="1" applyFill="1" applyBorder="1" applyAlignment="1">
      <alignment horizontal="justify" vertical="center" wrapText="1"/>
    </xf>
    <xf numFmtId="0" fontId="4" fillId="9" borderId="24" xfId="0" applyFont="1" applyFill="1" applyBorder="1" applyAlignment="1">
      <alignment horizontal="justify" vertical="center" wrapText="1"/>
    </xf>
    <xf numFmtId="0" fontId="4" fillId="12" borderId="37" xfId="0" applyFont="1" applyFill="1" applyBorder="1" applyAlignment="1">
      <alignment horizontal="center" vertical="center" wrapText="1"/>
    </xf>
    <xf numFmtId="0" fontId="4" fillId="12" borderId="25" xfId="0" applyFont="1" applyFill="1" applyBorder="1" applyAlignment="1">
      <alignment horizontal="center" vertical="center" wrapText="1"/>
    </xf>
    <xf numFmtId="0" fontId="4" fillId="12" borderId="39" xfId="0" applyFont="1" applyFill="1" applyBorder="1" applyAlignment="1">
      <alignment horizontal="center" vertical="center" wrapText="1"/>
    </xf>
    <xf numFmtId="0" fontId="4" fillId="12" borderId="50" xfId="0" applyFont="1" applyFill="1" applyBorder="1" applyAlignment="1">
      <alignment horizontal="center" vertical="center" wrapText="1"/>
    </xf>
    <xf numFmtId="0" fontId="4" fillId="12" borderId="53" xfId="0" applyFont="1" applyFill="1" applyBorder="1" applyAlignment="1">
      <alignment horizontal="center" vertical="center" wrapText="1"/>
    </xf>
    <xf numFmtId="0" fontId="4" fillId="12" borderId="27" xfId="0" applyFont="1" applyFill="1" applyBorder="1" applyAlignment="1">
      <alignment horizontal="center" vertical="center" wrapText="1"/>
    </xf>
    <xf numFmtId="0" fontId="4" fillId="5" borderId="37" xfId="0" applyFont="1" applyFill="1" applyBorder="1" applyAlignment="1">
      <alignment horizontal="center" vertical="center" wrapText="1"/>
    </xf>
    <xf numFmtId="0" fontId="4" fillId="5" borderId="25" xfId="0" applyFont="1" applyFill="1" applyBorder="1" applyAlignment="1">
      <alignment horizontal="center" vertical="center" wrapText="1"/>
    </xf>
    <xf numFmtId="0" fontId="4" fillId="5" borderId="39" xfId="0" applyFont="1" applyFill="1" applyBorder="1" applyAlignment="1">
      <alignment horizontal="center" vertical="center" wrapText="1"/>
    </xf>
    <xf numFmtId="0" fontId="4" fillId="5" borderId="50" xfId="0" applyFont="1" applyFill="1" applyBorder="1" applyAlignment="1">
      <alignment horizontal="center" vertical="center" wrapText="1"/>
    </xf>
    <xf numFmtId="0" fontId="4" fillId="5" borderId="53" xfId="0" applyFont="1" applyFill="1" applyBorder="1" applyAlignment="1">
      <alignment horizontal="center" vertical="center" wrapText="1"/>
    </xf>
    <xf numFmtId="0" fontId="4" fillId="5" borderId="27" xfId="0" applyFont="1" applyFill="1" applyBorder="1" applyAlignment="1">
      <alignment horizontal="center" vertical="center" wrapText="1"/>
    </xf>
    <xf numFmtId="2" fontId="10" fillId="0" borderId="33" xfId="0" applyNumberFormat="1" applyFont="1" applyBorder="1" applyAlignment="1">
      <alignment horizontal="left" vertical="center" wrapText="1"/>
    </xf>
    <xf numFmtId="0" fontId="4" fillId="9" borderId="7" xfId="0" applyFont="1" applyFill="1" applyBorder="1" applyAlignment="1">
      <alignment horizontal="justify" vertical="center" wrapText="1"/>
    </xf>
    <xf numFmtId="2" fontId="10" fillId="0" borderId="52" xfId="0" applyNumberFormat="1" applyFont="1" applyBorder="1" applyAlignment="1">
      <alignment horizontal="left" vertical="center" wrapText="1"/>
    </xf>
    <xf numFmtId="2" fontId="10" fillId="0" borderId="30" xfId="0" applyNumberFormat="1" applyFont="1" applyBorder="1" applyAlignment="1">
      <alignment horizontal="left" vertical="center" wrapText="1"/>
    </xf>
    <xf numFmtId="2" fontId="10" fillId="0" borderId="36" xfId="0" applyNumberFormat="1" applyFont="1" applyBorder="1" applyAlignment="1">
      <alignment horizontal="left" vertical="center" wrapText="1"/>
    </xf>
    <xf numFmtId="0" fontId="4" fillId="7" borderId="13" xfId="0" applyFont="1" applyFill="1" applyBorder="1" applyAlignment="1">
      <alignment horizontal="center" vertical="center" wrapText="1"/>
    </xf>
    <xf numFmtId="0" fontId="4" fillId="7" borderId="16" xfId="0" applyFont="1" applyFill="1" applyBorder="1" applyAlignment="1">
      <alignment horizontal="center" vertical="center" wrapText="1"/>
    </xf>
    <xf numFmtId="0" fontId="4" fillId="7" borderId="1" xfId="0" applyFont="1" applyFill="1" applyBorder="1" applyAlignment="1">
      <alignment horizontal="center" vertical="center" wrapText="1"/>
    </xf>
    <xf numFmtId="0" fontId="4" fillId="7" borderId="2" xfId="0" applyFont="1" applyFill="1" applyBorder="1" applyAlignment="1">
      <alignment horizontal="center" vertical="center" wrapText="1"/>
    </xf>
    <xf numFmtId="2" fontId="0" fillId="0" borderId="0" xfId="0" applyNumberFormat="1" applyBorder="1" applyAlignment="1">
      <alignment horizontal="center"/>
    </xf>
  </cellXfs>
  <cellStyles count="7">
    <cellStyle name="Calculation" xfId="5" builtinId="22"/>
    <cellStyle name="Comma" xfId="2" builtinId="3"/>
    <cellStyle name="Hyperlink" xfId="6" builtinId="8"/>
    <cellStyle name="Input" xfId="3" builtinId="20"/>
    <cellStyle name="Normal" xfId="0" builtinId="0"/>
    <cellStyle name="Output" xfId="4" builtinId="21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7.png"/><Relationship Id="rId2" Type="http://schemas.openxmlformats.org/officeDocument/2006/relationships/image" Target="../media/image6.png"/><Relationship Id="rId1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85725</xdr:colOff>
      <xdr:row>5</xdr:row>
      <xdr:rowOff>152140</xdr:rowOff>
    </xdr:from>
    <xdr:to>
      <xdr:col>7</xdr:col>
      <xdr:colOff>430212</xdr:colOff>
      <xdr:row>9</xdr:row>
      <xdr:rowOff>11809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5F74EFF0-7907-3740-5A3E-F43966F1B6C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81025" y="971290"/>
          <a:ext cx="8124825" cy="612144"/>
        </a:xfrm>
        <a:prstGeom prst="rect">
          <a:avLst/>
        </a:prstGeom>
      </xdr:spPr>
    </xdr:pic>
    <xdr:clientData/>
  </xdr:twoCellAnchor>
  <xdr:twoCellAnchor editAs="oneCell">
    <xdr:from>
      <xdr:col>1</xdr:col>
      <xdr:colOff>76200</xdr:colOff>
      <xdr:row>11</xdr:row>
      <xdr:rowOff>91361</xdr:rowOff>
    </xdr:from>
    <xdr:to>
      <xdr:col>4</xdr:col>
      <xdr:colOff>868362</xdr:colOff>
      <xdr:row>14</xdr:row>
      <xdr:rowOff>103573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BC6A17E-8D92-3C41-39AE-B0E1935BFD9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71500" y="2053511"/>
          <a:ext cx="5429250" cy="58053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71438</xdr:colOff>
      <xdr:row>9</xdr:row>
      <xdr:rowOff>40779</xdr:rowOff>
    </xdr:from>
    <xdr:to>
      <xdr:col>5</xdr:col>
      <xdr:colOff>1770062</xdr:colOff>
      <xdr:row>11</xdr:row>
      <xdr:rowOff>38098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276FD2E5-AD03-AB24-8F61-9C584765CE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19188" y="2041029"/>
          <a:ext cx="6476999" cy="378319"/>
        </a:xfrm>
        <a:prstGeom prst="rect">
          <a:avLst/>
        </a:prstGeom>
      </xdr:spPr>
    </xdr:pic>
    <xdr:clientData/>
  </xdr:twoCellAnchor>
  <xdr:twoCellAnchor editAs="oneCell">
    <xdr:from>
      <xdr:col>7</xdr:col>
      <xdr:colOff>416717</xdr:colOff>
      <xdr:row>9</xdr:row>
      <xdr:rowOff>155719</xdr:rowOff>
    </xdr:from>
    <xdr:to>
      <xdr:col>11</xdr:col>
      <xdr:colOff>2965882</xdr:colOff>
      <xdr:row>12</xdr:row>
      <xdr:rowOff>5948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D9A96546-824D-63B1-B9F7-810A653F170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9108280" y="2215500"/>
          <a:ext cx="7418821" cy="43363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1157553</xdr:colOff>
      <xdr:row>13</xdr:row>
      <xdr:rowOff>172811</xdr:rowOff>
    </xdr:from>
    <xdr:to>
      <xdr:col>5</xdr:col>
      <xdr:colOff>2907772</xdr:colOff>
      <xdr:row>16</xdr:row>
      <xdr:rowOff>18301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7685FC2D-FF7D-4B2F-82DD-01880AA296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750220" y="3845228"/>
          <a:ext cx="7084219" cy="416990"/>
        </a:xfrm>
        <a:prstGeom prst="rect">
          <a:avLst/>
        </a:prstGeom>
      </xdr:spPr>
    </xdr:pic>
    <xdr:clientData/>
  </xdr:twoCellAnchor>
  <xdr:twoCellAnchor editAs="oneCell">
    <xdr:from>
      <xdr:col>1</xdr:col>
      <xdr:colOff>1174750</xdr:colOff>
      <xdr:row>16</xdr:row>
      <xdr:rowOff>92932</xdr:rowOff>
    </xdr:from>
    <xdr:to>
      <xdr:col>5</xdr:col>
      <xdr:colOff>2517775</xdr:colOff>
      <xdr:row>17</xdr:row>
      <xdr:rowOff>242888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3F76F45E-3670-4E5D-97E6-A046F8098FDB}"/>
            </a:ext>
            <a:ext uri="{147F2762-F138-4A5C-976F-8EAC2B608ADB}">
              <a16:predDERef xmlns:a16="http://schemas.microsoft.com/office/drawing/2014/main" pred="{422F3D62-E901-6422-AE15-23A25483AAD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762125" y="5942870"/>
          <a:ext cx="6661150" cy="523017"/>
        </a:xfrm>
        <a:prstGeom prst="rect">
          <a:avLst/>
        </a:prstGeom>
      </xdr:spPr>
    </xdr:pic>
    <xdr:clientData/>
  </xdr:twoCellAnchor>
  <xdr:twoCellAnchor editAs="oneCell">
    <xdr:from>
      <xdr:col>8</xdr:col>
      <xdr:colOff>109538</xdr:colOff>
      <xdr:row>13</xdr:row>
      <xdr:rowOff>35720</xdr:rowOff>
    </xdr:from>
    <xdr:to>
      <xdr:col>11</xdr:col>
      <xdr:colOff>3729038</xdr:colOff>
      <xdr:row>16</xdr:row>
      <xdr:rowOff>92870</xdr:rowOff>
    </xdr:to>
    <xdr:pic>
      <xdr:nvPicPr>
        <xdr:cNvPr id="8" name="Picture 7">
          <a:extLst>
            <a:ext uri="{FF2B5EF4-FFF2-40B4-BE49-F238E27FC236}">
              <a16:creationId xmlns:a16="http://schemas.microsoft.com/office/drawing/2014/main" id="{CD3F4B3D-36E5-4736-A9C9-B260742C1CF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777913" y="4107658"/>
          <a:ext cx="6762750" cy="6643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14</xdr:col>
      <xdr:colOff>35718</xdr:colOff>
      <xdr:row>9</xdr:row>
      <xdr:rowOff>157505</xdr:rowOff>
    </xdr:from>
    <xdr:ext cx="5467350" cy="514008"/>
    <xdr:pic>
      <xdr:nvPicPr>
        <xdr:cNvPr id="9" name="Picture 8">
          <a:extLst>
            <a:ext uri="{FF2B5EF4-FFF2-40B4-BE49-F238E27FC236}">
              <a16:creationId xmlns:a16="http://schemas.microsoft.com/office/drawing/2014/main" id="{3E91F114-BC67-42BD-BF2C-E0204C17C4F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360312" y="3467443"/>
          <a:ext cx="5467350" cy="51400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minionlabs.tech/energy-management-hotel-hospitality" TargetMode="External"/><Relationship Id="rId1" Type="http://schemas.openxmlformats.org/officeDocument/2006/relationships/hyperlink" Target="https://link.springer.com/article/10.1007/s10668-023-02917-7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s://pubs.acs.org/doi/full/10.1021/acssuschemeng.7b02219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cruisehive.com/how-big-is-a-cruise-ship-engine/74524" TargetMode="External"/><Relationship Id="rId2" Type="http://schemas.openxmlformats.org/officeDocument/2006/relationships/hyperlink" Target="https://www.minionlabs.tech/energy-management-hotel-hospitality" TargetMode="External"/><Relationship Id="rId1" Type="http://schemas.openxmlformats.org/officeDocument/2006/relationships/hyperlink" Target="https://link.springer.com/article/10.1007/s10668-023-02917-7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ruisehive.com/how-big-is-a-cruise-ship-engine/74524" TargetMode="External"/><Relationship Id="rId1" Type="http://schemas.openxmlformats.org/officeDocument/2006/relationships/hyperlink" Target="https://link.springer.com/article/10.1007/s10668-023-02917-7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https://privatejetcardcomparisons.com/2017/07/11/how-many-hours-a-year-do-private-jets-fly/" TargetMode="External"/><Relationship Id="rId2" Type="http://schemas.openxmlformats.org/officeDocument/2006/relationships/hyperlink" Target="https://www.aeroclass.org/helicopter-fuel/" TargetMode="External"/><Relationship Id="rId1" Type="http://schemas.openxmlformats.org/officeDocument/2006/relationships/hyperlink" Target="https://www.aeroclass.org/helicopter-fuel/" TargetMode="External"/><Relationship Id="rId5" Type="http://schemas.openxmlformats.org/officeDocument/2006/relationships/hyperlink" Target="https://privatejetcardcomparisons.com/2017/07/11/how-many-hours-a-year-do-private-jets-fly/" TargetMode="External"/><Relationship Id="rId4" Type="http://schemas.openxmlformats.org/officeDocument/2006/relationships/hyperlink" Target="https://privatejetcardcomparisons.com/2017/07/11/how-many-hours-a-year-do-private-jets-fly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2B2C4F-359C-4A8C-9578-D77483AEFB75}">
  <dimension ref="B2:BT160"/>
  <sheetViews>
    <sheetView tabSelected="1" zoomScale="80" zoomScaleNormal="80" workbookViewId="0">
      <selection activeCell="B4" sqref="B4"/>
    </sheetView>
  </sheetViews>
  <sheetFormatPr defaultColWidth="15.7109375" defaultRowHeight="15" x14ac:dyDescent="0.25"/>
  <cols>
    <col min="1" max="1" width="7.42578125" customWidth="1"/>
    <col min="2" max="2" width="38" customWidth="1"/>
    <col min="3" max="3" width="15.7109375" style="3" customWidth="1"/>
    <col min="4" max="9" width="15.7109375" style="3"/>
    <col min="10" max="10" width="6.28515625" customWidth="1"/>
    <col min="11" max="11" width="23.140625" customWidth="1"/>
    <col min="19" max="19" width="7.85546875" customWidth="1"/>
    <col min="20" max="20" width="22.85546875" customWidth="1"/>
    <col min="28" max="28" width="6.140625" customWidth="1"/>
    <col min="29" max="29" width="23.140625" customWidth="1"/>
    <col min="37" max="37" width="6.42578125" customWidth="1"/>
    <col min="38" max="38" width="23.28515625" customWidth="1"/>
    <col min="46" max="46" width="5.5703125" customWidth="1"/>
    <col min="47" max="47" width="21.7109375" customWidth="1"/>
    <col min="55" max="55" width="6.7109375" customWidth="1"/>
    <col min="56" max="56" width="19.5703125" customWidth="1"/>
    <col min="64" max="64" width="6.28515625" customWidth="1"/>
    <col min="65" max="65" width="21.85546875" customWidth="1"/>
  </cols>
  <sheetData>
    <row r="2" spans="2:12" ht="18.75" x14ac:dyDescent="0.3">
      <c r="B2" s="22" t="s">
        <v>0</v>
      </c>
    </row>
    <row r="3" spans="2:12" ht="15.75" thickBot="1" x14ac:dyDescent="0.3"/>
    <row r="4" spans="2:12" ht="27" customHeight="1" thickBot="1" x14ac:dyDescent="0.3">
      <c r="B4" s="313" t="s">
        <v>1</v>
      </c>
      <c r="K4" s="314" t="s">
        <v>2</v>
      </c>
    </row>
    <row r="5" spans="2:12" x14ac:dyDescent="0.25">
      <c r="B5" s="32" t="s">
        <v>3</v>
      </c>
      <c r="C5" s="24"/>
      <c r="D5" s="24"/>
      <c r="E5" s="24"/>
      <c r="F5" s="24"/>
      <c r="G5" s="24"/>
      <c r="H5" s="25"/>
      <c r="K5" s="7" t="s">
        <v>4</v>
      </c>
      <c r="L5" s="42"/>
    </row>
    <row r="6" spans="2:12" x14ac:dyDescent="0.25">
      <c r="B6" s="26"/>
      <c r="C6" s="27"/>
      <c r="D6" s="27"/>
      <c r="E6" s="27"/>
      <c r="F6" s="27"/>
      <c r="G6" s="27"/>
      <c r="H6" s="28"/>
      <c r="K6" s="5" t="s">
        <v>5</v>
      </c>
      <c r="L6" s="48"/>
    </row>
    <row r="7" spans="2:12" x14ac:dyDescent="0.25">
      <c r="B7" s="26"/>
      <c r="C7" s="27"/>
      <c r="D7" s="27"/>
      <c r="E7" s="27"/>
      <c r="F7" s="27"/>
      <c r="G7" s="27"/>
      <c r="H7" s="28"/>
      <c r="K7" s="5" t="s">
        <v>6</v>
      </c>
      <c r="L7" s="43"/>
    </row>
    <row r="8" spans="2:12" ht="15.75" thickBot="1" x14ac:dyDescent="0.3">
      <c r="B8" s="26"/>
      <c r="C8" s="27"/>
      <c r="D8" s="27"/>
      <c r="E8" s="27"/>
      <c r="F8" s="27"/>
      <c r="G8" s="27"/>
      <c r="H8" s="28"/>
      <c r="K8" s="6" t="s">
        <v>7</v>
      </c>
      <c r="L8" s="44"/>
    </row>
    <row r="9" spans="2:12" x14ac:dyDescent="0.25">
      <c r="B9" s="26"/>
      <c r="C9" s="27"/>
      <c r="D9" s="27"/>
      <c r="E9" s="27"/>
      <c r="F9" s="27"/>
      <c r="G9" s="27"/>
      <c r="H9" s="28"/>
    </row>
    <row r="10" spans="2:12" x14ac:dyDescent="0.25">
      <c r="B10" s="26"/>
      <c r="C10" s="27"/>
      <c r="D10" s="27"/>
      <c r="E10" s="27"/>
      <c r="F10" s="27"/>
      <c r="G10" s="27"/>
      <c r="H10" s="28"/>
    </row>
    <row r="11" spans="2:12" x14ac:dyDescent="0.25">
      <c r="B11" s="33" t="s">
        <v>8</v>
      </c>
      <c r="C11" s="27"/>
      <c r="D11" s="27"/>
      <c r="E11" s="27"/>
      <c r="F11" s="27"/>
      <c r="G11" s="27"/>
      <c r="H11" s="28"/>
    </row>
    <row r="12" spans="2:12" x14ac:dyDescent="0.25">
      <c r="B12" s="26"/>
      <c r="C12" s="27"/>
      <c r="D12" s="27"/>
      <c r="E12" s="27"/>
      <c r="F12" s="27"/>
      <c r="G12" s="27"/>
      <c r="H12" s="28"/>
    </row>
    <row r="13" spans="2:12" x14ac:dyDescent="0.25">
      <c r="B13" s="26"/>
      <c r="C13" s="27"/>
      <c r="D13" s="27"/>
      <c r="E13" s="27"/>
      <c r="F13" s="27"/>
      <c r="G13" s="27"/>
      <c r="H13" s="28"/>
    </row>
    <row r="14" spans="2:12" x14ac:dyDescent="0.25">
      <c r="B14" s="26"/>
      <c r="C14" s="27"/>
      <c r="D14" s="27"/>
      <c r="E14" s="27"/>
      <c r="F14" s="27"/>
      <c r="G14" s="27"/>
      <c r="H14" s="28"/>
    </row>
    <row r="15" spans="2:12" ht="15.75" thickBot="1" x14ac:dyDescent="0.3">
      <c r="B15" s="29"/>
      <c r="C15" s="30"/>
      <c r="D15" s="30"/>
      <c r="E15" s="30"/>
      <c r="F15" s="30"/>
      <c r="G15" s="30"/>
      <c r="H15" s="31"/>
    </row>
    <row r="16" spans="2:12" ht="15.75" thickBot="1" x14ac:dyDescent="0.3"/>
    <row r="17" spans="2:66" ht="30.75" thickBot="1" x14ac:dyDescent="0.3">
      <c r="B17" s="37" t="s">
        <v>9</v>
      </c>
      <c r="C17" s="38" t="s">
        <v>10</v>
      </c>
      <c r="D17" s="38" t="s">
        <v>11</v>
      </c>
      <c r="E17" s="39" t="s">
        <v>12</v>
      </c>
      <c r="F17" s="327" t="s">
        <v>13</v>
      </c>
      <c r="G17" s="327"/>
      <c r="H17" s="328"/>
    </row>
    <row r="18" spans="2:66" x14ac:dyDescent="0.25">
      <c r="B18" s="4" t="s">
        <v>14</v>
      </c>
      <c r="C18" s="15">
        <v>0.4</v>
      </c>
      <c r="D18" s="8">
        <v>11.8</v>
      </c>
      <c r="E18" s="3">
        <v>0.85</v>
      </c>
      <c r="F18" s="18" t="s">
        <v>15</v>
      </c>
      <c r="G18" s="16"/>
      <c r="H18" s="17"/>
    </row>
    <row r="19" spans="2:66" x14ac:dyDescent="0.25">
      <c r="B19" s="5" t="s">
        <v>16</v>
      </c>
      <c r="C19" s="13">
        <v>0.4</v>
      </c>
      <c r="D19" s="3">
        <v>33.33</v>
      </c>
      <c r="E19" s="3">
        <v>2.0537E-2</v>
      </c>
      <c r="F19" s="18" t="s">
        <v>17</v>
      </c>
      <c r="G19" s="18"/>
      <c r="H19" s="19"/>
    </row>
    <row r="20" spans="2:66" x14ac:dyDescent="0.25">
      <c r="B20" s="5" t="s">
        <v>18</v>
      </c>
      <c r="C20" s="13">
        <v>0.36</v>
      </c>
      <c r="D20" s="3">
        <v>5.22</v>
      </c>
      <c r="E20" s="3">
        <v>0.60360000000000003</v>
      </c>
      <c r="F20" s="18" t="s">
        <v>19</v>
      </c>
      <c r="G20" s="18"/>
      <c r="H20" s="19"/>
    </row>
    <row r="21" spans="2:66" x14ac:dyDescent="0.25">
      <c r="B21" s="5" t="s">
        <v>20</v>
      </c>
      <c r="C21" s="13">
        <v>0.43</v>
      </c>
      <c r="D21" s="3">
        <v>5.54</v>
      </c>
      <c r="E21" s="3">
        <v>0.79</v>
      </c>
      <c r="F21" s="18" t="s">
        <v>15</v>
      </c>
      <c r="G21" s="18"/>
      <c r="H21" s="19"/>
    </row>
    <row r="22" spans="2:66" x14ac:dyDescent="0.25">
      <c r="B22" s="5" t="s">
        <v>21</v>
      </c>
      <c r="C22" s="13">
        <v>0.4</v>
      </c>
      <c r="D22" s="3">
        <v>11.8</v>
      </c>
      <c r="E22" s="3">
        <v>0.85</v>
      </c>
      <c r="F22" s="18" t="s">
        <v>15</v>
      </c>
      <c r="G22" s="18"/>
      <c r="H22" s="19"/>
    </row>
    <row r="23" spans="2:66" ht="15.75" thickBot="1" x14ac:dyDescent="0.3">
      <c r="B23" s="6" t="s">
        <v>22</v>
      </c>
      <c r="C23" s="14">
        <v>0.4</v>
      </c>
      <c r="D23" s="11">
        <v>12.1</v>
      </c>
      <c r="E23" s="11">
        <v>0.8</v>
      </c>
      <c r="F23" s="20" t="s">
        <v>15</v>
      </c>
      <c r="G23" s="20"/>
      <c r="H23" s="21"/>
    </row>
    <row r="24" spans="2:66" ht="15.75" thickBot="1" x14ac:dyDescent="0.3"/>
    <row r="25" spans="2:66" s="1" customFormat="1" ht="30.75" thickBot="1" x14ac:dyDescent="0.3">
      <c r="B25" s="37" t="s">
        <v>23</v>
      </c>
      <c r="C25" s="40" t="s">
        <v>24</v>
      </c>
      <c r="D25" s="41" t="s">
        <v>25</v>
      </c>
      <c r="E25" s="2"/>
      <c r="F25" s="2"/>
      <c r="G25" s="2"/>
      <c r="H25" s="2"/>
      <c r="I25" s="2"/>
    </row>
    <row r="26" spans="2:66" x14ac:dyDescent="0.25">
      <c r="B26" s="7" t="s">
        <v>26</v>
      </c>
      <c r="C26" s="8">
        <v>22.420934000000003</v>
      </c>
      <c r="D26" s="9">
        <f>C26*$C$18</f>
        <v>8.9683736000000014</v>
      </c>
    </row>
    <row r="27" spans="2:66" x14ac:dyDescent="0.25">
      <c r="B27" s="5" t="s">
        <v>27</v>
      </c>
      <c r="C27" s="468">
        <v>11.926788999999999</v>
      </c>
      <c r="D27" s="10">
        <f t="shared" ref="D27:D33" si="0">C27*$C$18</f>
        <v>4.7707155999999999</v>
      </c>
    </row>
    <row r="28" spans="2:66" x14ac:dyDescent="0.25">
      <c r="B28" s="5" t="s">
        <v>28</v>
      </c>
      <c r="C28" s="468">
        <v>1.009665</v>
      </c>
      <c r="D28" s="10">
        <f t="shared" si="0"/>
        <v>0.40386600000000006</v>
      </c>
    </row>
    <row r="29" spans="2:66" x14ac:dyDescent="0.25">
      <c r="B29" s="5" t="s">
        <v>29</v>
      </c>
      <c r="C29" s="468">
        <v>1.2131215000000002</v>
      </c>
      <c r="D29" s="10">
        <f t="shared" si="0"/>
        <v>0.48524860000000009</v>
      </c>
    </row>
    <row r="30" spans="2:66" x14ac:dyDescent="0.25">
      <c r="B30" s="5" t="s">
        <v>30</v>
      </c>
      <c r="C30" s="468">
        <v>1.3307080000000002</v>
      </c>
      <c r="D30" s="10">
        <f t="shared" si="0"/>
        <v>0.53228320000000007</v>
      </c>
    </row>
    <row r="31" spans="2:66" ht="15.75" thickBot="1" x14ac:dyDescent="0.3">
      <c r="B31" s="5" t="s">
        <v>32</v>
      </c>
      <c r="C31" s="468">
        <v>1.8596394999999999</v>
      </c>
      <c r="D31" s="10">
        <f t="shared" si="0"/>
        <v>0.74385579999999996</v>
      </c>
    </row>
    <row r="32" spans="2:66" ht="15.75" thickBot="1" x14ac:dyDescent="0.3">
      <c r="B32" s="5" t="s">
        <v>337</v>
      </c>
      <c r="C32" s="468">
        <f>C30*0.5</f>
        <v>0.66535400000000011</v>
      </c>
      <c r="D32" s="10">
        <f t="shared" si="0"/>
        <v>0.26614160000000003</v>
      </c>
      <c r="AL32" s="329" t="s">
        <v>31</v>
      </c>
      <c r="AM32" s="330"/>
      <c r="BM32" s="329" t="s">
        <v>31</v>
      </c>
      <c r="BN32" s="330"/>
    </row>
    <row r="33" spans="2:72" ht="15.75" thickBot="1" x14ac:dyDescent="0.3">
      <c r="B33" s="6" t="s">
        <v>338</v>
      </c>
      <c r="C33" s="11">
        <f>C31*0.5</f>
        <v>0.92981974999999994</v>
      </c>
      <c r="D33" s="12">
        <f t="shared" si="0"/>
        <v>0.37192789999999998</v>
      </c>
      <c r="AL33" s="7" t="s">
        <v>33</v>
      </c>
      <c r="AM33" s="55">
        <f>U46/AM46</f>
        <v>0.45423390865474483</v>
      </c>
      <c r="BM33" s="7" t="s">
        <v>33</v>
      </c>
      <c r="BN33" s="55">
        <f>AV46/BN46</f>
        <v>0.41710440633818108</v>
      </c>
    </row>
    <row r="34" spans="2:72" ht="15.75" thickBot="1" x14ac:dyDescent="0.3">
      <c r="AL34" s="6" t="s">
        <v>34</v>
      </c>
      <c r="AM34" s="23">
        <f>AD46/AM46</f>
        <v>0.54576609134525522</v>
      </c>
      <c r="BM34" s="6" t="s">
        <v>34</v>
      </c>
      <c r="BN34" s="23">
        <f>BE46/BN46</f>
        <v>0.58289559366181887</v>
      </c>
    </row>
    <row r="35" spans="2:72" ht="18.75" x14ac:dyDescent="0.3">
      <c r="B35" s="22" t="s">
        <v>35</v>
      </c>
    </row>
    <row r="36" spans="2:72" ht="15.75" thickBot="1" x14ac:dyDescent="0.3"/>
    <row r="37" spans="2:72" ht="15.75" thickBot="1" x14ac:dyDescent="0.3">
      <c r="B37" s="34" t="s">
        <v>36</v>
      </c>
      <c r="C37" s="35"/>
      <c r="D37" s="35"/>
      <c r="E37" s="35"/>
      <c r="F37" s="35"/>
      <c r="G37" s="35"/>
      <c r="H37" s="35"/>
      <c r="I37" s="36"/>
      <c r="K37" s="49" t="s">
        <v>37</v>
      </c>
      <c r="L37" s="50"/>
      <c r="M37" s="50"/>
      <c r="N37" s="50"/>
      <c r="O37" s="50"/>
      <c r="P37" s="50"/>
      <c r="Q37" s="50"/>
      <c r="R37" s="51"/>
      <c r="T37" s="52" t="s">
        <v>38</v>
      </c>
      <c r="U37" s="53"/>
      <c r="V37" s="53"/>
      <c r="W37" s="53"/>
      <c r="X37" s="53"/>
      <c r="Y37" s="53"/>
      <c r="Z37" s="53"/>
      <c r="AA37" s="54"/>
      <c r="AC37" s="52" t="s">
        <v>39</v>
      </c>
      <c r="AD37" s="53"/>
      <c r="AE37" s="53"/>
      <c r="AF37" s="53"/>
      <c r="AG37" s="53"/>
      <c r="AH37" s="53"/>
      <c r="AI37" s="53"/>
      <c r="AJ37" s="54"/>
      <c r="AK37" s="3"/>
      <c r="AL37" s="52" t="s">
        <v>40</v>
      </c>
      <c r="AM37" s="53"/>
      <c r="AN37" s="53"/>
      <c r="AO37" s="53"/>
      <c r="AP37" s="53"/>
      <c r="AQ37" s="53"/>
      <c r="AR37" s="53"/>
      <c r="AS37" s="54"/>
      <c r="AU37" s="45" t="s">
        <v>41</v>
      </c>
      <c r="AV37" s="46"/>
      <c r="AW37" s="46"/>
      <c r="AX37" s="46"/>
      <c r="AY37" s="46"/>
      <c r="AZ37" s="46"/>
      <c r="BA37" s="46"/>
      <c r="BB37" s="47"/>
      <c r="BD37" s="45" t="s">
        <v>42</v>
      </c>
      <c r="BE37" s="46"/>
      <c r="BF37" s="46"/>
      <c r="BG37" s="46"/>
      <c r="BH37" s="46"/>
      <c r="BI37" s="46"/>
      <c r="BJ37" s="46"/>
      <c r="BK37" s="47"/>
      <c r="BM37" s="45" t="s">
        <v>43</v>
      </c>
      <c r="BN37" s="46"/>
      <c r="BO37" s="46"/>
      <c r="BP37" s="46"/>
      <c r="BQ37" s="46"/>
      <c r="BR37" s="46"/>
      <c r="BS37" s="46"/>
      <c r="BT37" s="47"/>
    </row>
    <row r="38" spans="2:72" x14ac:dyDescent="0.25">
      <c r="B38" s="7" t="s">
        <v>44</v>
      </c>
      <c r="C38" s="325" t="s">
        <v>45</v>
      </c>
      <c r="D38" s="325"/>
      <c r="E38" s="325"/>
      <c r="F38" s="325"/>
      <c r="G38" s="325"/>
      <c r="H38" s="325"/>
      <c r="I38" s="326"/>
      <c r="K38" s="7" t="s">
        <v>44</v>
      </c>
      <c r="L38" s="325" t="s">
        <v>45</v>
      </c>
      <c r="M38" s="325"/>
      <c r="N38" s="325"/>
      <c r="O38" s="325"/>
      <c r="P38" s="325"/>
      <c r="Q38" s="325"/>
      <c r="R38" s="326"/>
      <c r="T38" s="7" t="s">
        <v>44</v>
      </c>
      <c r="U38" s="325" t="s">
        <v>45</v>
      </c>
      <c r="V38" s="325"/>
      <c r="W38" s="325"/>
      <c r="X38" s="325"/>
      <c r="Y38" s="325"/>
      <c r="Z38" s="325"/>
      <c r="AA38" s="326"/>
      <c r="AC38" s="7" t="s">
        <v>44</v>
      </c>
      <c r="AD38" s="325" t="s">
        <v>45</v>
      </c>
      <c r="AE38" s="325"/>
      <c r="AF38" s="325"/>
      <c r="AG38" s="325"/>
      <c r="AH38" s="325"/>
      <c r="AI38" s="325"/>
      <c r="AJ38" s="326"/>
      <c r="AK38" s="3"/>
      <c r="AL38" s="7" t="s">
        <v>44</v>
      </c>
      <c r="AM38" s="325" t="s">
        <v>45</v>
      </c>
      <c r="AN38" s="325"/>
      <c r="AO38" s="325"/>
      <c r="AP38" s="325"/>
      <c r="AQ38" s="325"/>
      <c r="AR38" s="325"/>
      <c r="AS38" s="326"/>
      <c r="AU38" s="7" t="s">
        <v>44</v>
      </c>
      <c r="AV38" s="325" t="s">
        <v>45</v>
      </c>
      <c r="AW38" s="325"/>
      <c r="AX38" s="325"/>
      <c r="AY38" s="325"/>
      <c r="AZ38" s="325"/>
      <c r="BA38" s="325"/>
      <c r="BB38" s="326"/>
      <c r="BD38" s="7" t="s">
        <v>44</v>
      </c>
      <c r="BE38" s="325" t="s">
        <v>45</v>
      </c>
      <c r="BF38" s="325"/>
      <c r="BG38" s="325"/>
      <c r="BH38" s="325"/>
      <c r="BI38" s="325"/>
      <c r="BJ38" s="325"/>
      <c r="BK38" s="326"/>
      <c r="BM38" s="7" t="s">
        <v>44</v>
      </c>
      <c r="BN38" s="325" t="s">
        <v>45</v>
      </c>
      <c r="BO38" s="325"/>
      <c r="BP38" s="325"/>
      <c r="BQ38" s="325"/>
      <c r="BR38" s="325"/>
      <c r="BS38" s="325"/>
      <c r="BT38" s="326"/>
    </row>
    <row r="39" spans="2:72" x14ac:dyDescent="0.25">
      <c r="B39" s="5"/>
      <c r="C39" s="3" t="s">
        <v>46</v>
      </c>
      <c r="I39" s="10"/>
      <c r="K39" s="5"/>
      <c r="L39" s="3" t="s">
        <v>46</v>
      </c>
      <c r="M39" s="3"/>
      <c r="N39" s="3"/>
      <c r="O39" s="3"/>
      <c r="P39" s="3"/>
      <c r="Q39" s="3"/>
      <c r="R39" s="10"/>
      <c r="T39" s="5"/>
      <c r="U39" s="3" t="s">
        <v>46</v>
      </c>
      <c r="V39" s="3"/>
      <c r="W39" s="3"/>
      <c r="X39" s="3"/>
      <c r="Y39" s="3"/>
      <c r="Z39" s="3"/>
      <c r="AA39" s="10"/>
      <c r="AC39" s="5"/>
      <c r="AD39" s="3" t="s">
        <v>46</v>
      </c>
      <c r="AE39" s="3"/>
      <c r="AF39" s="3"/>
      <c r="AG39" s="3"/>
      <c r="AH39" s="3"/>
      <c r="AI39" s="3"/>
      <c r="AJ39" s="10"/>
      <c r="AK39" s="3"/>
      <c r="AL39" s="5"/>
      <c r="AM39" s="3" t="s">
        <v>46</v>
      </c>
      <c r="AN39" s="3"/>
      <c r="AO39" s="3"/>
      <c r="AP39" s="3"/>
      <c r="AQ39" s="3"/>
      <c r="AR39" s="3"/>
      <c r="AS39" s="10"/>
      <c r="AU39" s="5"/>
      <c r="AV39" s="3" t="s">
        <v>46</v>
      </c>
      <c r="AW39" s="3"/>
      <c r="AX39" s="3"/>
      <c r="AY39" s="3"/>
      <c r="AZ39" s="3"/>
      <c r="BA39" s="3"/>
      <c r="BB39" s="10"/>
      <c r="BD39" s="5"/>
      <c r="BE39" s="3" t="s">
        <v>46</v>
      </c>
      <c r="BF39" s="3"/>
      <c r="BG39" s="3"/>
      <c r="BH39" s="3"/>
      <c r="BI39" s="3"/>
      <c r="BJ39" s="3"/>
      <c r="BK39" s="10"/>
      <c r="BM39" s="5"/>
      <c r="BN39" s="3" t="s">
        <v>46</v>
      </c>
      <c r="BO39" s="3"/>
      <c r="BP39" s="3"/>
      <c r="BQ39" s="3"/>
      <c r="BR39" s="3"/>
      <c r="BS39" s="3"/>
      <c r="BT39" s="10"/>
    </row>
    <row r="40" spans="2:72" ht="15.75" thickBot="1" x14ac:dyDescent="0.3">
      <c r="B40" s="6"/>
      <c r="C40" s="11"/>
      <c r="D40" s="11" t="s">
        <v>47</v>
      </c>
      <c r="E40" s="11" t="s">
        <v>48</v>
      </c>
      <c r="F40" s="11" t="s">
        <v>47</v>
      </c>
      <c r="G40" s="11" t="s">
        <v>48</v>
      </c>
      <c r="H40" s="11" t="s">
        <v>47</v>
      </c>
      <c r="I40" s="12" t="s">
        <v>48</v>
      </c>
      <c r="K40" s="6"/>
      <c r="L40" s="11"/>
      <c r="M40" s="11" t="s">
        <v>47</v>
      </c>
      <c r="N40" s="11" t="s">
        <v>48</v>
      </c>
      <c r="O40" s="11" t="s">
        <v>47</v>
      </c>
      <c r="P40" s="11" t="s">
        <v>48</v>
      </c>
      <c r="Q40" s="11" t="s">
        <v>47</v>
      </c>
      <c r="R40" s="12" t="s">
        <v>48</v>
      </c>
      <c r="T40" s="6"/>
      <c r="U40" s="11"/>
      <c r="V40" s="11" t="s">
        <v>47</v>
      </c>
      <c r="W40" s="11" t="s">
        <v>48</v>
      </c>
      <c r="X40" s="11" t="s">
        <v>47</v>
      </c>
      <c r="Y40" s="11" t="s">
        <v>48</v>
      </c>
      <c r="Z40" s="11" t="s">
        <v>47</v>
      </c>
      <c r="AA40" s="12" t="s">
        <v>48</v>
      </c>
      <c r="AC40" s="6"/>
      <c r="AD40" s="11"/>
      <c r="AE40" s="11" t="s">
        <v>47</v>
      </c>
      <c r="AF40" s="11" t="s">
        <v>48</v>
      </c>
      <c r="AG40" s="11" t="s">
        <v>47</v>
      </c>
      <c r="AH40" s="11" t="s">
        <v>48</v>
      </c>
      <c r="AI40" s="11" t="s">
        <v>47</v>
      </c>
      <c r="AJ40" s="12" t="s">
        <v>48</v>
      </c>
      <c r="AK40" s="3"/>
      <c r="AL40" s="6"/>
      <c r="AM40" s="11"/>
      <c r="AN40" s="11" t="s">
        <v>47</v>
      </c>
      <c r="AO40" s="11" t="s">
        <v>48</v>
      </c>
      <c r="AP40" s="11" t="s">
        <v>47</v>
      </c>
      <c r="AQ40" s="11" t="s">
        <v>48</v>
      </c>
      <c r="AR40" s="11" t="s">
        <v>47</v>
      </c>
      <c r="AS40" s="12" t="s">
        <v>48</v>
      </c>
      <c r="AU40" s="6"/>
      <c r="AV40" s="11"/>
      <c r="AW40" s="11" t="s">
        <v>47</v>
      </c>
      <c r="AX40" s="11" t="s">
        <v>48</v>
      </c>
      <c r="AY40" s="11" t="s">
        <v>47</v>
      </c>
      <c r="AZ40" s="11" t="s">
        <v>48</v>
      </c>
      <c r="BA40" s="11" t="s">
        <v>47</v>
      </c>
      <c r="BB40" s="12" t="s">
        <v>48</v>
      </c>
      <c r="BD40" s="6"/>
      <c r="BE40" s="11"/>
      <c r="BF40" s="11" t="s">
        <v>47</v>
      </c>
      <c r="BG40" s="11" t="s">
        <v>48</v>
      </c>
      <c r="BH40" s="11" t="s">
        <v>47</v>
      </c>
      <c r="BI40" s="11" t="s">
        <v>48</v>
      </c>
      <c r="BJ40" s="11" t="s">
        <v>47</v>
      </c>
      <c r="BK40" s="12" t="s">
        <v>48</v>
      </c>
      <c r="BM40" s="6"/>
      <c r="BN40" s="11"/>
      <c r="BO40" s="11" t="s">
        <v>47</v>
      </c>
      <c r="BP40" s="11" t="s">
        <v>48</v>
      </c>
      <c r="BQ40" s="11" t="s">
        <v>47</v>
      </c>
      <c r="BR40" s="11" t="s">
        <v>48</v>
      </c>
      <c r="BS40" s="11" t="s">
        <v>47</v>
      </c>
      <c r="BT40" s="12" t="s">
        <v>48</v>
      </c>
    </row>
    <row r="41" spans="2:72" x14ac:dyDescent="0.25">
      <c r="B41" s="5" t="s">
        <v>49</v>
      </c>
      <c r="C41" s="3">
        <f>C46*0.05</f>
        <v>1.1210467000000002</v>
      </c>
      <c r="D41" s="3">
        <f>C41*(1.01)^6</f>
        <v>1.1900136618147543</v>
      </c>
      <c r="E41" s="3">
        <f>C41*(1.05)^6</f>
        <v>1.5023097956070424</v>
      </c>
      <c r="F41" s="3">
        <f>C41*(1.01)^16</f>
        <v>1.3145154203821845</v>
      </c>
      <c r="G41" s="3">
        <f>C41*(1.05)^16</f>
        <v>2.4471043538194279</v>
      </c>
      <c r="H41" s="3">
        <f>C41*(1.01)^26</f>
        <v>1.4520428175483719</v>
      </c>
      <c r="I41" s="10">
        <f>C41*(1.05)^26</f>
        <v>3.9860751331001496</v>
      </c>
      <c r="K41" s="5" t="s">
        <v>49</v>
      </c>
      <c r="L41" s="3">
        <f>L46*0.05</f>
        <v>0.59633944999999999</v>
      </c>
      <c r="M41" s="3">
        <f>L41*(1.01)^6</f>
        <v>0.6330263427733176</v>
      </c>
      <c r="N41" s="3">
        <f>L41*(1.05)^6</f>
        <v>0.79915189727771008</v>
      </c>
      <c r="O41" s="3">
        <f>L41*(1.01)^16</f>
        <v>0.69925490419554381</v>
      </c>
      <c r="P41" s="3">
        <f>L41*(1.05)^16</f>
        <v>1.3017342314546601</v>
      </c>
      <c r="Q41" s="3">
        <f>L41*(1.01)^26</f>
        <v>0.77241243847668994</v>
      </c>
      <c r="R41" s="10">
        <f>L41*(1.05)^26</f>
        <v>2.1203878951087582</v>
      </c>
      <c r="T41" s="5" t="s">
        <v>49</v>
      </c>
      <c r="U41" s="3">
        <f>U46*0.05</f>
        <v>5.0483250000000007E-2</v>
      </c>
      <c r="V41" s="3">
        <f>U41*(1.01)^6</f>
        <v>5.3588987142827949E-2</v>
      </c>
      <c r="W41" s="3">
        <f>U41*(1.05)^6</f>
        <v>6.7652383249582046E-2</v>
      </c>
      <c r="X41" s="3">
        <f>U41*(1.01)^16</f>
        <v>5.9195580876344328E-2</v>
      </c>
      <c r="Y41" s="3">
        <f>U41*(1.05)^16</f>
        <v>0.11019860356393239</v>
      </c>
      <c r="Z41" s="3">
        <f>U41*(1.01)^26</f>
        <v>6.5388748362578339E-2</v>
      </c>
      <c r="AA41" s="10">
        <f>U41*(1.05)^26</f>
        <v>0.1795019132236669</v>
      </c>
      <c r="AC41" s="5" t="s">
        <v>49</v>
      </c>
      <c r="AD41" s="3">
        <f>AD46*0.05</f>
        <v>6.0656075000000011E-2</v>
      </c>
      <c r="AE41" s="3">
        <f>AD41*(1.01)^6</f>
        <v>6.438764586886557E-2</v>
      </c>
      <c r="AF41" s="3">
        <f>AD41*(1.05)^6</f>
        <v>8.1284941684923062E-2</v>
      </c>
      <c r="AG41" s="3">
        <f>AD41*(1.01)^16</f>
        <v>7.1124018229890257E-2</v>
      </c>
      <c r="AH41" s="3">
        <f>AD41*(1.05)^16</f>
        <v>0.13240460474848886</v>
      </c>
      <c r="AI41" s="3">
        <f>AD41*(1.01)^26</f>
        <v>7.8565164184886654E-2</v>
      </c>
      <c r="AJ41" s="10">
        <f>AD41*(1.05)^26</f>
        <v>0.21567314923540445</v>
      </c>
      <c r="AK41" s="3"/>
      <c r="AL41" s="5" t="s">
        <v>49</v>
      </c>
      <c r="AM41" s="3">
        <f t="shared" ref="AM41:AN46" si="1">U41+AD41</f>
        <v>0.11113932500000001</v>
      </c>
      <c r="AN41" s="3">
        <f t="shared" si="1"/>
        <v>0.11797663301169352</v>
      </c>
      <c r="AO41" s="3">
        <f t="shared" ref="AO41:AS46" si="2">W41+AF41</f>
        <v>0.14893732493450512</v>
      </c>
      <c r="AP41" s="3">
        <f t="shared" si="2"/>
        <v>0.13031959910623458</v>
      </c>
      <c r="AQ41" s="3">
        <f t="shared" si="2"/>
        <v>0.24260320831242127</v>
      </c>
      <c r="AR41" s="3">
        <f t="shared" si="2"/>
        <v>0.14395391254746498</v>
      </c>
      <c r="AS41" s="10">
        <f t="shared" si="2"/>
        <v>0.39517506245907136</v>
      </c>
      <c r="AU41" s="5" t="s">
        <v>49</v>
      </c>
      <c r="AV41" s="3">
        <f>AV46*0.05</f>
        <v>3.3267700000000004E-2</v>
      </c>
      <c r="AW41" s="3">
        <f>AV41*(1.01)^6</f>
        <v>3.5314333914148899E-2</v>
      </c>
      <c r="AX41" s="3">
        <f>AV41*(1.05)^6</f>
        <v>4.4581899743620319E-2</v>
      </c>
      <c r="AY41" s="3">
        <f>AV41*(1.01)^16</f>
        <v>3.9008994585728138E-2</v>
      </c>
      <c r="AZ41" s="3">
        <f>AV41*(1.05)^16</f>
        <v>7.2619216943913739E-2</v>
      </c>
      <c r="BA41" s="3">
        <f>AV41*(1.01)^26</f>
        <v>4.3090198509441194E-2</v>
      </c>
      <c r="BB41" s="10">
        <f>AV41*(1.05)^26</f>
        <v>0.11828905228072643</v>
      </c>
      <c r="BD41" s="5" t="s">
        <v>49</v>
      </c>
      <c r="BE41" s="3">
        <f>BE46*0.05</f>
        <v>4.6490987499999997E-2</v>
      </c>
      <c r="BF41" s="3">
        <f>BE41*(1.01)^6</f>
        <v>4.9351120052589209E-2</v>
      </c>
      <c r="BG41" s="3">
        <f>BE41*(1.05)^6</f>
        <v>6.2302369677101364E-2</v>
      </c>
      <c r="BH41" s="3">
        <f>BE41*(1.01)^16</f>
        <v>5.4514339123914617E-2</v>
      </c>
      <c r="BI41" s="3">
        <f>BE41*(1.05)^16</f>
        <v>0.10148399520253223</v>
      </c>
      <c r="BJ41" s="3">
        <f>BE41*(1.01)^26</f>
        <v>6.0217745148445759E-2</v>
      </c>
      <c r="BK41" s="10">
        <f>BE41*(1.05)^26</f>
        <v>0.16530673448931241</v>
      </c>
      <c r="BM41" s="5" t="s">
        <v>49</v>
      </c>
      <c r="BN41" s="3">
        <f t="shared" ref="BN41:BT46" si="3">AV41+BE41</f>
        <v>7.9758687500000008E-2</v>
      </c>
      <c r="BO41" s="3">
        <f t="shared" si="3"/>
        <v>8.4665453966738108E-2</v>
      </c>
      <c r="BP41" s="3">
        <f t="shared" si="3"/>
        <v>0.10688426942072168</v>
      </c>
      <c r="BQ41" s="3">
        <f t="shared" si="3"/>
        <v>9.3523333709642748E-2</v>
      </c>
      <c r="BR41" s="3">
        <f t="shared" si="3"/>
        <v>0.17410321214644597</v>
      </c>
      <c r="BS41" s="3">
        <f t="shared" si="3"/>
        <v>0.10330794365788695</v>
      </c>
      <c r="BT41" s="10">
        <f t="shared" si="3"/>
        <v>0.28359578677003883</v>
      </c>
    </row>
    <row r="42" spans="2:72" x14ac:dyDescent="0.25">
      <c r="B42" s="5" t="s">
        <v>50</v>
      </c>
      <c r="C42" s="3">
        <f>C46*0.1</f>
        <v>2.2420934000000003</v>
      </c>
      <c r="D42" s="3">
        <f t="shared" ref="D42:D45" si="4">C42*(1.01)^6</f>
        <v>2.3800273236295086</v>
      </c>
      <c r="E42" s="3">
        <f t="shared" ref="E42:E46" si="5">C42*(1.05)^6</f>
        <v>3.0046195912140847</v>
      </c>
      <c r="F42" s="3">
        <f t="shared" ref="F42:F46" si="6">C42*(1.01)^16</f>
        <v>2.629030840764369</v>
      </c>
      <c r="G42" s="3">
        <f t="shared" ref="G42:G46" si="7">C42*(1.05)^16</f>
        <v>4.8942087076388558</v>
      </c>
      <c r="H42" s="3">
        <f t="shared" ref="H42:H46" si="8">C42*(1.01)^26</f>
        <v>2.9040856350967439</v>
      </c>
      <c r="I42" s="10">
        <f t="shared" ref="I42:I45" si="9">C42*(1.05)^26</f>
        <v>7.9721502662002992</v>
      </c>
      <c r="K42" s="5" t="s">
        <v>50</v>
      </c>
      <c r="L42" s="3">
        <f>L46*0.1</f>
        <v>1.1926789</v>
      </c>
      <c r="M42" s="3">
        <f t="shared" ref="M42:M45" si="10">L42*(1.01)^6</f>
        <v>1.2660526855466352</v>
      </c>
      <c r="N42" s="3">
        <f t="shared" ref="N42:N46" si="11">L42*(1.05)^6</f>
        <v>1.5983037945554202</v>
      </c>
      <c r="O42" s="3">
        <f t="shared" ref="O42:O46" si="12">L42*(1.01)^16</f>
        <v>1.3985098083910876</v>
      </c>
      <c r="P42" s="3">
        <f t="shared" ref="P42:P46" si="13">L42*(1.05)^16</f>
        <v>2.6034684629093201</v>
      </c>
      <c r="Q42" s="3">
        <f t="shared" ref="Q42:Q46" si="14">L42*(1.01)^26</f>
        <v>1.5448248769533799</v>
      </c>
      <c r="R42" s="10">
        <f t="shared" ref="R42:R45" si="15">L42*(1.05)^26</f>
        <v>4.2407757902175165</v>
      </c>
      <c r="T42" s="5" t="s">
        <v>50</v>
      </c>
      <c r="U42" s="3">
        <f>U46*0.1</f>
        <v>0.10096650000000001</v>
      </c>
      <c r="V42" s="3">
        <f t="shared" ref="V42:V45" si="16">U42*(1.01)^6</f>
        <v>0.1071779742856559</v>
      </c>
      <c r="W42" s="3">
        <f t="shared" ref="W42:W46" si="17">U42*(1.05)^6</f>
        <v>0.13530476649916409</v>
      </c>
      <c r="X42" s="3">
        <f t="shared" ref="X42:X46" si="18">U42*(1.01)^16</f>
        <v>0.11839116175268866</v>
      </c>
      <c r="Y42" s="3">
        <f t="shared" ref="Y42:Y46" si="19">U42*(1.05)^16</f>
        <v>0.22039720712786479</v>
      </c>
      <c r="Z42" s="3">
        <f t="shared" ref="Z42:Z46" si="20">U42*(1.01)^26</f>
        <v>0.13077749672515668</v>
      </c>
      <c r="AA42" s="10">
        <f t="shared" ref="AA42:AA45" si="21">U42*(1.05)^26</f>
        <v>0.35900382644733381</v>
      </c>
      <c r="AC42" s="5" t="s">
        <v>50</v>
      </c>
      <c r="AD42" s="3">
        <f>AD46*0.1</f>
        <v>0.12131215000000002</v>
      </c>
      <c r="AE42" s="3">
        <f t="shared" ref="AE42:AE45" si="22">AD42*(1.01)^6</f>
        <v>0.12877529173773114</v>
      </c>
      <c r="AF42" s="3">
        <f t="shared" ref="AF42:AF46" si="23">AD42*(1.05)^6</f>
        <v>0.16256988336984612</v>
      </c>
      <c r="AG42" s="3">
        <f t="shared" ref="AG42:AG46" si="24">AD42*(1.01)^16</f>
        <v>0.14224803645978051</v>
      </c>
      <c r="AH42" s="3">
        <f t="shared" ref="AH42:AH46" si="25">AD42*(1.05)^16</f>
        <v>0.26480920949697773</v>
      </c>
      <c r="AI42" s="3">
        <f t="shared" ref="AI42:AI46" si="26">AD42*(1.01)^26</f>
        <v>0.15713032836977331</v>
      </c>
      <c r="AJ42" s="10">
        <f t="shared" ref="AJ42:AJ45" si="27">AD42*(1.05)^26</f>
        <v>0.43134629847080891</v>
      </c>
      <c r="AK42" s="3"/>
      <c r="AL42" s="5" t="s">
        <v>50</v>
      </c>
      <c r="AM42" s="3">
        <f t="shared" si="1"/>
        <v>0.22227865000000002</v>
      </c>
      <c r="AN42" s="3">
        <f t="shared" si="1"/>
        <v>0.23595326602338704</v>
      </c>
      <c r="AO42" s="3">
        <f t="shared" si="2"/>
        <v>0.29787464986901024</v>
      </c>
      <c r="AP42" s="3">
        <f t="shared" si="2"/>
        <v>0.26063919821246917</v>
      </c>
      <c r="AQ42" s="3">
        <f t="shared" si="2"/>
        <v>0.48520641662484254</v>
      </c>
      <c r="AR42" s="3">
        <f t="shared" si="2"/>
        <v>0.28790782509492996</v>
      </c>
      <c r="AS42" s="10">
        <f t="shared" si="2"/>
        <v>0.79035012491814272</v>
      </c>
      <c r="AU42" s="5" t="s">
        <v>50</v>
      </c>
      <c r="AV42" s="3">
        <f>AV46*0.1</f>
        <v>6.6535400000000008E-2</v>
      </c>
      <c r="AW42" s="3">
        <f t="shared" ref="AW42:AW45" si="28">AV42*(1.01)^6</f>
        <v>7.0628667828297798E-2</v>
      </c>
      <c r="AX42" s="3">
        <f t="shared" ref="AX42:AX46" si="29">AV42*(1.05)^6</f>
        <v>8.9163799487240639E-2</v>
      </c>
      <c r="AY42" s="3">
        <f t="shared" ref="AY42:AY46" si="30">AV42*(1.01)^16</f>
        <v>7.8017989171456276E-2</v>
      </c>
      <c r="AZ42" s="3">
        <f t="shared" ref="AZ42:AZ46" si="31">AV42*(1.05)^16</f>
        <v>0.14523843388782748</v>
      </c>
      <c r="BA42" s="3">
        <f t="shared" ref="BA42:BA46" si="32">AV42*(1.01)^26</f>
        <v>8.6180397018882388E-2</v>
      </c>
      <c r="BB42" s="10">
        <f t="shared" ref="BB42:BB45" si="33">AV42*(1.05)^26</f>
        <v>0.23657810456145287</v>
      </c>
      <c r="BD42" s="5" t="s">
        <v>50</v>
      </c>
      <c r="BE42" s="3">
        <f>BE46*0.1</f>
        <v>9.2981974999999994E-2</v>
      </c>
      <c r="BF42" s="3">
        <f t="shared" ref="BF42:BF45" si="34">BE42*(1.01)^6</f>
        <v>9.8702240105178418E-2</v>
      </c>
      <c r="BG42" s="3">
        <f t="shared" ref="BG42:BG46" si="35">BE42*(1.05)^6</f>
        <v>0.12460473935420273</v>
      </c>
      <c r="BH42" s="3">
        <f t="shared" ref="BH42:BH46" si="36">BE42*(1.01)^16</f>
        <v>0.10902867824782923</v>
      </c>
      <c r="BI42" s="3">
        <f t="shared" ref="BI42:BI46" si="37">BE42*(1.05)^16</f>
        <v>0.20296799040506447</v>
      </c>
      <c r="BJ42" s="3">
        <f t="shared" ref="BJ42:BJ46" si="38">BE42*(1.01)^26</f>
        <v>0.12043549029689152</v>
      </c>
      <c r="BK42" s="10">
        <f t="shared" ref="BK42:BK45" si="39">BE42*(1.05)^26</f>
        <v>0.33061346897862481</v>
      </c>
      <c r="BM42" s="5" t="s">
        <v>50</v>
      </c>
      <c r="BN42" s="3">
        <f t="shared" si="3"/>
        <v>0.15951737500000002</v>
      </c>
      <c r="BO42" s="3">
        <f t="shared" si="3"/>
        <v>0.16933090793347622</v>
      </c>
      <c r="BP42" s="3">
        <f t="shared" si="3"/>
        <v>0.21376853884144337</v>
      </c>
      <c r="BQ42" s="3">
        <f t="shared" si="3"/>
        <v>0.1870466674192855</v>
      </c>
      <c r="BR42" s="3">
        <f t="shared" si="3"/>
        <v>0.34820642429289195</v>
      </c>
      <c r="BS42" s="3">
        <f t="shared" si="3"/>
        <v>0.20661588731577391</v>
      </c>
      <c r="BT42" s="10">
        <f t="shared" si="3"/>
        <v>0.56719157354007765</v>
      </c>
    </row>
    <row r="43" spans="2:72" x14ac:dyDescent="0.25">
      <c r="B43" s="5" t="s">
        <v>51</v>
      </c>
      <c r="C43" s="3">
        <f>C46*0.25</f>
        <v>5.6052335000000006</v>
      </c>
      <c r="D43" s="3">
        <f t="shared" si="4"/>
        <v>5.9500683090737718</v>
      </c>
      <c r="E43" s="3">
        <f t="shared" si="5"/>
        <v>7.5115489780352114</v>
      </c>
      <c r="F43" s="3">
        <f t="shared" si="6"/>
        <v>6.5725771019109223</v>
      </c>
      <c r="G43" s="3">
        <f t="shared" si="7"/>
        <v>12.23552176909714</v>
      </c>
      <c r="H43" s="3">
        <f t="shared" si="8"/>
        <v>7.2602140877418595</v>
      </c>
      <c r="I43" s="10">
        <f t="shared" si="9"/>
        <v>19.930375665500748</v>
      </c>
      <c r="K43" s="5" t="s">
        <v>51</v>
      </c>
      <c r="L43" s="3">
        <f>L46*0.25</f>
        <v>2.9816972499999999</v>
      </c>
      <c r="M43" s="3">
        <f t="shared" si="10"/>
        <v>3.1651317138665878</v>
      </c>
      <c r="N43" s="3">
        <f t="shared" si="11"/>
        <v>3.9957594863885504</v>
      </c>
      <c r="O43" s="3">
        <f t="shared" si="12"/>
        <v>3.4962745209777188</v>
      </c>
      <c r="P43" s="3">
        <f t="shared" si="13"/>
        <v>6.5086711572733007</v>
      </c>
      <c r="Q43" s="3">
        <f t="shared" si="14"/>
        <v>3.8620621923834499</v>
      </c>
      <c r="R43" s="10">
        <f t="shared" si="15"/>
        <v>10.601939475543791</v>
      </c>
      <c r="T43" s="5" t="s">
        <v>51</v>
      </c>
      <c r="U43" s="3">
        <f>U46*0.25</f>
        <v>0.25241625000000001</v>
      </c>
      <c r="V43" s="3">
        <f t="shared" si="16"/>
        <v>0.26794493571413969</v>
      </c>
      <c r="W43" s="3">
        <f t="shared" si="17"/>
        <v>0.33826191624791019</v>
      </c>
      <c r="X43" s="3">
        <f t="shared" si="18"/>
        <v>0.29597790438172161</v>
      </c>
      <c r="Y43" s="3">
        <f t="shared" si="19"/>
        <v>0.55099301781966192</v>
      </c>
      <c r="Z43" s="3">
        <f t="shared" si="20"/>
        <v>0.32694374181289165</v>
      </c>
      <c r="AA43" s="10">
        <f t="shared" si="21"/>
        <v>0.89750956611833443</v>
      </c>
      <c r="AC43" s="5" t="s">
        <v>51</v>
      </c>
      <c r="AD43" s="3">
        <f>AD46*0.25</f>
        <v>0.30328037500000005</v>
      </c>
      <c r="AE43" s="3">
        <f t="shared" si="22"/>
        <v>0.32193822934432786</v>
      </c>
      <c r="AF43" s="3">
        <f t="shared" si="23"/>
        <v>0.40642470842461531</v>
      </c>
      <c r="AG43" s="3">
        <f t="shared" si="24"/>
        <v>0.35562009114945126</v>
      </c>
      <c r="AH43" s="3">
        <f t="shared" si="25"/>
        <v>0.66202302374244426</v>
      </c>
      <c r="AI43" s="3">
        <f t="shared" si="26"/>
        <v>0.39282582092443324</v>
      </c>
      <c r="AJ43" s="10">
        <f t="shared" si="27"/>
        <v>1.0783657461770222</v>
      </c>
      <c r="AK43" s="3"/>
      <c r="AL43" s="5" t="s">
        <v>51</v>
      </c>
      <c r="AM43" s="3">
        <f t="shared" si="1"/>
        <v>0.55569662500000006</v>
      </c>
      <c r="AN43" s="3">
        <f t="shared" si="1"/>
        <v>0.5898831650584675</v>
      </c>
      <c r="AO43" s="3">
        <f t="shared" si="2"/>
        <v>0.74468662467252544</v>
      </c>
      <c r="AP43" s="3">
        <f t="shared" si="2"/>
        <v>0.65159799553117281</v>
      </c>
      <c r="AQ43" s="3">
        <f t="shared" si="2"/>
        <v>1.2130160415621063</v>
      </c>
      <c r="AR43" s="3">
        <f t="shared" si="2"/>
        <v>0.71976956273732484</v>
      </c>
      <c r="AS43" s="10">
        <f t="shared" si="2"/>
        <v>1.9758753122953565</v>
      </c>
      <c r="AU43" s="5" t="s">
        <v>51</v>
      </c>
      <c r="AV43" s="3">
        <f>AV46*0.25</f>
        <v>0.16633850000000003</v>
      </c>
      <c r="AW43" s="3">
        <f t="shared" si="28"/>
        <v>0.17657166957074449</v>
      </c>
      <c r="AX43" s="3">
        <f t="shared" si="29"/>
        <v>0.22290949871810159</v>
      </c>
      <c r="AY43" s="3">
        <f t="shared" si="30"/>
        <v>0.1950449729286407</v>
      </c>
      <c r="AZ43" s="3">
        <f t="shared" si="31"/>
        <v>0.36309608471956872</v>
      </c>
      <c r="BA43" s="3">
        <f t="shared" si="32"/>
        <v>0.21545099254720598</v>
      </c>
      <c r="BB43" s="10">
        <f t="shared" si="33"/>
        <v>0.59144526140363218</v>
      </c>
      <c r="BD43" s="5" t="s">
        <v>51</v>
      </c>
      <c r="BE43" s="3">
        <f>BE46*0.25</f>
        <v>0.23245493749999999</v>
      </c>
      <c r="BF43" s="3">
        <f t="shared" si="34"/>
        <v>0.24675560026294605</v>
      </c>
      <c r="BG43" s="3">
        <f t="shared" si="35"/>
        <v>0.31151184838550683</v>
      </c>
      <c r="BH43" s="3">
        <f t="shared" si="36"/>
        <v>0.27257169561957306</v>
      </c>
      <c r="BI43" s="3">
        <f t="shared" si="37"/>
        <v>0.50741997601266109</v>
      </c>
      <c r="BJ43" s="3">
        <f t="shared" si="38"/>
        <v>0.30108872574222878</v>
      </c>
      <c r="BK43" s="10">
        <f t="shared" si="39"/>
        <v>0.82653367244656206</v>
      </c>
      <c r="BM43" s="5" t="s">
        <v>51</v>
      </c>
      <c r="BN43" s="3">
        <f t="shared" si="3"/>
        <v>0.39879343750000001</v>
      </c>
      <c r="BO43" s="3">
        <f t="shared" si="3"/>
        <v>0.42332726983369051</v>
      </c>
      <c r="BP43" s="3">
        <f t="shared" si="3"/>
        <v>0.53442134710360845</v>
      </c>
      <c r="BQ43" s="3">
        <f t="shared" si="3"/>
        <v>0.46761666854821377</v>
      </c>
      <c r="BR43" s="3">
        <f t="shared" si="3"/>
        <v>0.87051606073222976</v>
      </c>
      <c r="BS43" s="3">
        <f t="shared" si="3"/>
        <v>0.51653971828943479</v>
      </c>
      <c r="BT43" s="10">
        <f t="shared" si="3"/>
        <v>1.4179789338501942</v>
      </c>
    </row>
    <row r="44" spans="2:72" x14ac:dyDescent="0.25">
      <c r="B44" s="5" t="s">
        <v>52</v>
      </c>
      <c r="C44" s="3">
        <f>C46*0.5</f>
        <v>11.210467000000001</v>
      </c>
      <c r="D44" s="3">
        <f t="shared" si="4"/>
        <v>11.900136618147544</v>
      </c>
      <c r="E44" s="3">
        <f t="shared" si="5"/>
        <v>15.023097956070423</v>
      </c>
      <c r="F44" s="3">
        <f t="shared" si="6"/>
        <v>13.145154203821845</v>
      </c>
      <c r="G44" s="3">
        <f t="shared" si="7"/>
        <v>24.47104353819428</v>
      </c>
      <c r="H44" s="3">
        <f t="shared" si="8"/>
        <v>14.520428175483719</v>
      </c>
      <c r="I44" s="10">
        <f t="shared" si="9"/>
        <v>39.860751331001495</v>
      </c>
      <c r="K44" s="5" t="s">
        <v>52</v>
      </c>
      <c r="L44" s="3">
        <f>L46*0.5</f>
        <v>5.9633944999999997</v>
      </c>
      <c r="M44" s="3">
        <f t="shared" si="10"/>
        <v>6.3302634277331755</v>
      </c>
      <c r="N44" s="3">
        <f t="shared" si="11"/>
        <v>7.9915189727771008</v>
      </c>
      <c r="O44" s="3">
        <f t="shared" si="12"/>
        <v>6.9925490419554377</v>
      </c>
      <c r="P44" s="3">
        <f t="shared" si="13"/>
        <v>13.017342314546601</v>
      </c>
      <c r="Q44" s="3">
        <f t="shared" si="14"/>
        <v>7.7241243847668999</v>
      </c>
      <c r="R44" s="10">
        <f t="shared" si="15"/>
        <v>21.203878951087582</v>
      </c>
      <c r="T44" s="5" t="s">
        <v>52</v>
      </c>
      <c r="U44" s="3">
        <f>U46*0.5</f>
        <v>0.50483250000000002</v>
      </c>
      <c r="V44" s="3">
        <f t="shared" si="16"/>
        <v>0.53588987142827937</v>
      </c>
      <c r="W44" s="3">
        <f t="shared" si="17"/>
        <v>0.67652383249582038</v>
      </c>
      <c r="X44" s="3">
        <f t="shared" si="18"/>
        <v>0.59195580876344323</v>
      </c>
      <c r="Y44" s="3">
        <f t="shared" si="19"/>
        <v>1.1019860356393238</v>
      </c>
      <c r="Z44" s="3">
        <f t="shared" si="20"/>
        <v>0.65388748362578331</v>
      </c>
      <c r="AA44" s="10">
        <f t="shared" si="21"/>
        <v>1.7950191322366689</v>
      </c>
      <c r="AC44" s="5" t="s">
        <v>52</v>
      </c>
      <c r="AD44" s="3">
        <f>AD46*0.5</f>
        <v>0.60656075000000009</v>
      </c>
      <c r="AE44" s="3">
        <f t="shared" si="22"/>
        <v>0.64387645868865573</v>
      </c>
      <c r="AF44" s="3">
        <f t="shared" si="23"/>
        <v>0.81284941684923062</v>
      </c>
      <c r="AG44" s="3">
        <f t="shared" si="24"/>
        <v>0.71124018229890251</v>
      </c>
      <c r="AH44" s="3">
        <f t="shared" si="25"/>
        <v>1.3240460474848885</v>
      </c>
      <c r="AI44" s="3">
        <f t="shared" si="26"/>
        <v>0.78565164184886649</v>
      </c>
      <c r="AJ44" s="10">
        <f t="shared" si="27"/>
        <v>2.1567314923540444</v>
      </c>
      <c r="AK44" s="3"/>
      <c r="AL44" s="5" t="s">
        <v>52</v>
      </c>
      <c r="AM44" s="3">
        <f t="shared" si="1"/>
        <v>1.1113932500000001</v>
      </c>
      <c r="AN44" s="3">
        <f t="shared" si="1"/>
        <v>1.179766330116935</v>
      </c>
      <c r="AO44" s="3">
        <f t="shared" si="2"/>
        <v>1.4893732493450509</v>
      </c>
      <c r="AP44" s="3">
        <f t="shared" si="2"/>
        <v>1.3031959910623456</v>
      </c>
      <c r="AQ44" s="3">
        <f t="shared" si="2"/>
        <v>2.4260320831242126</v>
      </c>
      <c r="AR44" s="3">
        <f t="shared" si="2"/>
        <v>1.4395391254746497</v>
      </c>
      <c r="AS44" s="10">
        <f t="shared" si="2"/>
        <v>3.951750624590713</v>
      </c>
      <c r="AU44" s="5" t="s">
        <v>52</v>
      </c>
      <c r="AV44" s="3">
        <f>AV46*0.5</f>
        <v>0.33267700000000006</v>
      </c>
      <c r="AW44" s="3">
        <f t="shared" si="28"/>
        <v>0.35314333914148899</v>
      </c>
      <c r="AX44" s="3">
        <f t="shared" si="29"/>
        <v>0.44581899743620318</v>
      </c>
      <c r="AY44" s="3">
        <f t="shared" si="30"/>
        <v>0.39008994585728141</v>
      </c>
      <c r="AZ44" s="3">
        <f t="shared" si="31"/>
        <v>0.72619216943913745</v>
      </c>
      <c r="BA44" s="3">
        <f t="shared" si="32"/>
        <v>0.43090198509441197</v>
      </c>
      <c r="BB44" s="10">
        <f t="shared" si="33"/>
        <v>1.1828905228072644</v>
      </c>
      <c r="BD44" s="5" t="s">
        <v>52</v>
      </c>
      <c r="BE44" s="3">
        <f>BE46*0.5</f>
        <v>0.46490987499999997</v>
      </c>
      <c r="BF44" s="3">
        <f t="shared" si="34"/>
        <v>0.49351120052589209</v>
      </c>
      <c r="BG44" s="3">
        <f t="shared" si="35"/>
        <v>0.62302369677101366</v>
      </c>
      <c r="BH44" s="3">
        <f t="shared" si="36"/>
        <v>0.54514339123914612</v>
      </c>
      <c r="BI44" s="3">
        <f t="shared" si="37"/>
        <v>1.0148399520253222</v>
      </c>
      <c r="BJ44" s="3">
        <f t="shared" si="38"/>
        <v>0.60217745148445756</v>
      </c>
      <c r="BK44" s="10">
        <f t="shared" si="39"/>
        <v>1.6530673448931241</v>
      </c>
      <c r="BM44" s="5" t="s">
        <v>52</v>
      </c>
      <c r="BN44" s="3">
        <f t="shared" si="3"/>
        <v>0.79758687500000003</v>
      </c>
      <c r="BO44" s="3">
        <f t="shared" si="3"/>
        <v>0.84665453966738102</v>
      </c>
      <c r="BP44" s="3">
        <f t="shared" si="3"/>
        <v>1.0688426942072169</v>
      </c>
      <c r="BQ44" s="3">
        <f t="shared" si="3"/>
        <v>0.93523333709642753</v>
      </c>
      <c r="BR44" s="3">
        <f t="shared" si="3"/>
        <v>1.7410321214644595</v>
      </c>
      <c r="BS44" s="3">
        <f t="shared" si="3"/>
        <v>1.0330794365788696</v>
      </c>
      <c r="BT44" s="10">
        <f t="shared" si="3"/>
        <v>2.8359578677003885</v>
      </c>
    </row>
    <row r="45" spans="2:72" x14ac:dyDescent="0.25">
      <c r="B45" s="5" t="s">
        <v>53</v>
      </c>
      <c r="C45" s="3">
        <f>C46*0.75</f>
        <v>16.815700500000002</v>
      </c>
      <c r="D45" s="3">
        <f t="shared" si="4"/>
        <v>17.850204927221316</v>
      </c>
      <c r="E45" s="3">
        <f t="shared" si="5"/>
        <v>22.534646934105634</v>
      </c>
      <c r="F45" s="3">
        <f t="shared" si="6"/>
        <v>19.717731305732766</v>
      </c>
      <c r="G45" s="3">
        <f t="shared" si="7"/>
        <v>36.70656530729142</v>
      </c>
      <c r="H45" s="3">
        <f t="shared" si="8"/>
        <v>21.78064226322558</v>
      </c>
      <c r="I45" s="10">
        <f t="shared" si="9"/>
        <v>59.791126996502243</v>
      </c>
      <c r="K45" s="5" t="s">
        <v>53</v>
      </c>
      <c r="L45" s="3">
        <f>L46*0.75</f>
        <v>8.9450917499999996</v>
      </c>
      <c r="M45" s="3">
        <f t="shared" si="10"/>
        <v>9.4953951415997633</v>
      </c>
      <c r="N45" s="3">
        <f t="shared" si="11"/>
        <v>11.987278459165651</v>
      </c>
      <c r="O45" s="3">
        <f t="shared" si="12"/>
        <v>10.488823562933156</v>
      </c>
      <c r="P45" s="3">
        <f t="shared" si="13"/>
        <v>19.526013471819901</v>
      </c>
      <c r="Q45" s="3">
        <f t="shared" si="14"/>
        <v>11.58618657715035</v>
      </c>
      <c r="R45" s="10">
        <f t="shared" si="15"/>
        <v>31.805818426631376</v>
      </c>
      <c r="T45" s="5" t="s">
        <v>53</v>
      </c>
      <c r="U45" s="3">
        <f>U46*0.75</f>
        <v>0.75724875000000003</v>
      </c>
      <c r="V45" s="3">
        <f t="shared" si="16"/>
        <v>0.80383480714241917</v>
      </c>
      <c r="W45" s="3">
        <f t="shared" si="17"/>
        <v>1.0147857487437304</v>
      </c>
      <c r="X45" s="3">
        <f t="shared" si="18"/>
        <v>0.88793371314516478</v>
      </c>
      <c r="Y45" s="3">
        <f t="shared" si="19"/>
        <v>1.6529790534589857</v>
      </c>
      <c r="Z45" s="3">
        <f t="shared" si="20"/>
        <v>0.98083122543867496</v>
      </c>
      <c r="AA45" s="10">
        <f t="shared" si="21"/>
        <v>2.692528698355003</v>
      </c>
      <c r="AC45" s="5" t="s">
        <v>53</v>
      </c>
      <c r="AD45" s="3">
        <f>AD46*0.75</f>
        <v>0.90984112500000014</v>
      </c>
      <c r="AE45" s="3">
        <f t="shared" si="22"/>
        <v>0.96581468803298354</v>
      </c>
      <c r="AF45" s="3">
        <f t="shared" si="23"/>
        <v>1.2192741252738459</v>
      </c>
      <c r="AG45" s="3">
        <f t="shared" si="24"/>
        <v>1.0668602734483539</v>
      </c>
      <c r="AH45" s="3">
        <f t="shared" si="25"/>
        <v>1.986069071227333</v>
      </c>
      <c r="AI45" s="3">
        <f t="shared" si="26"/>
        <v>1.1784774627732997</v>
      </c>
      <c r="AJ45" s="10">
        <f t="shared" si="27"/>
        <v>3.2350972385310666</v>
      </c>
      <c r="AK45" s="3"/>
      <c r="AL45" s="5" t="s">
        <v>53</v>
      </c>
      <c r="AM45" s="3">
        <f t="shared" si="1"/>
        <v>1.6670898750000003</v>
      </c>
      <c r="AN45" s="3">
        <f t="shared" si="1"/>
        <v>1.7696494951754027</v>
      </c>
      <c r="AO45" s="3">
        <f t="shared" si="2"/>
        <v>2.2340598740175763</v>
      </c>
      <c r="AP45" s="3">
        <f t="shared" si="2"/>
        <v>1.9547939865935187</v>
      </c>
      <c r="AQ45" s="3">
        <f t="shared" si="2"/>
        <v>3.6390481246863189</v>
      </c>
      <c r="AR45" s="3">
        <f t="shared" si="2"/>
        <v>2.1593086882119747</v>
      </c>
      <c r="AS45" s="10">
        <f t="shared" si="2"/>
        <v>5.92762593688607</v>
      </c>
      <c r="AU45" s="5" t="s">
        <v>53</v>
      </c>
      <c r="AV45" s="3">
        <f>AV46*0.75</f>
        <v>0.49901550000000006</v>
      </c>
      <c r="AW45" s="3">
        <f t="shared" si="28"/>
        <v>0.52971500871223343</v>
      </c>
      <c r="AX45" s="3">
        <f t="shared" si="29"/>
        <v>0.66872849615430474</v>
      </c>
      <c r="AY45" s="3">
        <f t="shared" si="30"/>
        <v>0.58513491878592205</v>
      </c>
      <c r="AZ45" s="3">
        <f t="shared" si="31"/>
        <v>1.0892882541587061</v>
      </c>
      <c r="BA45" s="3">
        <f t="shared" si="32"/>
        <v>0.64635297764161792</v>
      </c>
      <c r="BB45" s="10">
        <f t="shared" si="33"/>
        <v>1.7743357842108967</v>
      </c>
      <c r="BD45" s="5" t="s">
        <v>53</v>
      </c>
      <c r="BE45" s="3">
        <f>BE46*0.75</f>
        <v>0.69736481249999993</v>
      </c>
      <c r="BF45" s="3">
        <f t="shared" si="34"/>
        <v>0.74026680078883811</v>
      </c>
      <c r="BG45" s="3">
        <f t="shared" si="35"/>
        <v>0.93453554515652038</v>
      </c>
      <c r="BH45" s="3">
        <f t="shared" si="36"/>
        <v>0.81771508685871919</v>
      </c>
      <c r="BI45" s="3">
        <f t="shared" si="37"/>
        <v>1.5222599280379834</v>
      </c>
      <c r="BJ45" s="3">
        <f t="shared" si="38"/>
        <v>0.90326617722668634</v>
      </c>
      <c r="BK45" s="10">
        <f t="shared" si="39"/>
        <v>2.4796010173396859</v>
      </c>
      <c r="BM45" s="5" t="s">
        <v>53</v>
      </c>
      <c r="BN45" s="3">
        <f t="shared" si="3"/>
        <v>1.1963803125000001</v>
      </c>
      <c r="BO45" s="3">
        <f t="shared" si="3"/>
        <v>1.2699818095010715</v>
      </c>
      <c r="BP45" s="3">
        <f t="shared" si="3"/>
        <v>1.6032640413108252</v>
      </c>
      <c r="BQ45" s="3">
        <f t="shared" si="3"/>
        <v>1.4028500056446411</v>
      </c>
      <c r="BR45" s="3">
        <f t="shared" si="3"/>
        <v>2.6115481821966897</v>
      </c>
      <c r="BS45" s="3">
        <f t="shared" si="3"/>
        <v>1.5496191548683043</v>
      </c>
      <c r="BT45" s="10">
        <f t="shared" si="3"/>
        <v>4.2539368015505827</v>
      </c>
    </row>
    <row r="46" spans="2:72" ht="15.75" thickBot="1" x14ac:dyDescent="0.3">
      <c r="B46" s="6" t="s">
        <v>54</v>
      </c>
      <c r="C46" s="11">
        <f>$C$26</f>
        <v>22.420934000000003</v>
      </c>
      <c r="D46" s="11">
        <f>C46*(1.01)^6</f>
        <v>23.800273236295087</v>
      </c>
      <c r="E46" s="11">
        <f t="shared" si="5"/>
        <v>30.046195912140846</v>
      </c>
      <c r="F46" s="11">
        <f t="shared" si="6"/>
        <v>26.290308407643689</v>
      </c>
      <c r="G46" s="11">
        <f t="shared" si="7"/>
        <v>48.94208707638856</v>
      </c>
      <c r="H46" s="11">
        <f t="shared" si="8"/>
        <v>29.040856350967438</v>
      </c>
      <c r="I46" s="12">
        <f>C46*(1.05)^26</f>
        <v>79.72150266200299</v>
      </c>
      <c r="K46" s="6" t="s">
        <v>54</v>
      </c>
      <c r="L46" s="11">
        <f>C27</f>
        <v>11.926788999999999</v>
      </c>
      <c r="M46" s="11">
        <f>L46*(1.01)^6</f>
        <v>12.660526855466351</v>
      </c>
      <c r="N46" s="11">
        <f t="shared" si="11"/>
        <v>15.983037945554202</v>
      </c>
      <c r="O46" s="11">
        <f t="shared" si="12"/>
        <v>13.985098083910875</v>
      </c>
      <c r="P46" s="11">
        <f t="shared" si="13"/>
        <v>26.034684629093203</v>
      </c>
      <c r="Q46" s="11">
        <f t="shared" si="14"/>
        <v>15.4482487695338</v>
      </c>
      <c r="R46" s="12">
        <f>L46*(1.05)^26</f>
        <v>42.407757902175163</v>
      </c>
      <c r="T46" s="6" t="s">
        <v>54</v>
      </c>
      <c r="U46" s="11">
        <f>C28</f>
        <v>1.009665</v>
      </c>
      <c r="V46" s="11">
        <f>U46*(1.01)^6</f>
        <v>1.0717797428565587</v>
      </c>
      <c r="W46" s="11">
        <f t="shared" si="17"/>
        <v>1.3530476649916408</v>
      </c>
      <c r="X46" s="11">
        <f t="shared" si="18"/>
        <v>1.1839116175268865</v>
      </c>
      <c r="Y46" s="11">
        <f t="shared" si="19"/>
        <v>2.2039720712786477</v>
      </c>
      <c r="Z46" s="11">
        <f t="shared" si="20"/>
        <v>1.3077749672515666</v>
      </c>
      <c r="AA46" s="12">
        <f>U46*(1.05)^26</f>
        <v>3.5900382644733377</v>
      </c>
      <c r="AC46" s="6" t="s">
        <v>54</v>
      </c>
      <c r="AD46" s="11">
        <f>C29</f>
        <v>1.2131215000000002</v>
      </c>
      <c r="AE46" s="11">
        <f>AD46*(1.01)^6</f>
        <v>1.2877529173773115</v>
      </c>
      <c r="AF46" s="11">
        <f t="shared" si="23"/>
        <v>1.6256988336984612</v>
      </c>
      <c r="AG46" s="11">
        <f t="shared" si="24"/>
        <v>1.422480364597805</v>
      </c>
      <c r="AH46" s="11">
        <f t="shared" si="25"/>
        <v>2.648092094969777</v>
      </c>
      <c r="AI46" s="11">
        <f t="shared" si="26"/>
        <v>1.571303283697733</v>
      </c>
      <c r="AJ46" s="12">
        <f>AD46*(1.05)^26</f>
        <v>4.3134629847080888</v>
      </c>
      <c r="AK46" s="3"/>
      <c r="AL46" s="6" t="s">
        <v>54</v>
      </c>
      <c r="AM46" s="11">
        <f t="shared" si="1"/>
        <v>2.2227865000000002</v>
      </c>
      <c r="AN46" s="11">
        <f t="shared" si="1"/>
        <v>2.35953266023387</v>
      </c>
      <c r="AO46" s="11">
        <f t="shared" si="2"/>
        <v>2.9787464986901018</v>
      </c>
      <c r="AP46" s="11">
        <f t="shared" si="2"/>
        <v>2.6063919821246913</v>
      </c>
      <c r="AQ46" s="11">
        <f t="shared" si="2"/>
        <v>4.8520641662484252</v>
      </c>
      <c r="AR46" s="11">
        <f t="shared" si="2"/>
        <v>2.8790782509492994</v>
      </c>
      <c r="AS46" s="12">
        <f t="shared" si="2"/>
        <v>7.903501249181426</v>
      </c>
      <c r="AU46" s="6" t="s">
        <v>54</v>
      </c>
      <c r="AV46" s="11">
        <f>C32</f>
        <v>0.66535400000000011</v>
      </c>
      <c r="AW46" s="11">
        <f>AV46*(1.01)^6</f>
        <v>0.70628667828297798</v>
      </c>
      <c r="AX46" s="11">
        <f t="shared" si="29"/>
        <v>0.89163799487240636</v>
      </c>
      <c r="AY46" s="11">
        <f t="shared" si="30"/>
        <v>0.78017989171456281</v>
      </c>
      <c r="AZ46" s="11">
        <f t="shared" si="31"/>
        <v>1.4523843388782749</v>
      </c>
      <c r="BA46" s="11">
        <f t="shared" si="32"/>
        <v>0.86180397018882393</v>
      </c>
      <c r="BB46" s="12">
        <f>AV46*(1.05)^26</f>
        <v>2.3657810456145287</v>
      </c>
      <c r="BD46" s="6" t="s">
        <v>54</v>
      </c>
      <c r="BE46" s="11">
        <f>C33</f>
        <v>0.92981974999999994</v>
      </c>
      <c r="BF46" s="11">
        <f>BE46*(1.01)^6</f>
        <v>0.98702240105178418</v>
      </c>
      <c r="BG46" s="11">
        <f t="shared" si="35"/>
        <v>1.2460473935420273</v>
      </c>
      <c r="BH46" s="11">
        <f t="shared" si="36"/>
        <v>1.0902867824782922</v>
      </c>
      <c r="BI46" s="11">
        <f t="shared" si="37"/>
        <v>2.0296799040506444</v>
      </c>
      <c r="BJ46" s="11">
        <f t="shared" si="38"/>
        <v>1.2043549029689151</v>
      </c>
      <c r="BK46" s="12">
        <f>BE46*(1.05)^26</f>
        <v>3.3061346897862482</v>
      </c>
      <c r="BM46" s="6" t="s">
        <v>54</v>
      </c>
      <c r="BN46" s="11">
        <f t="shared" si="3"/>
        <v>1.5951737500000001</v>
      </c>
      <c r="BO46" s="11">
        <f t="shared" si="3"/>
        <v>1.693309079334762</v>
      </c>
      <c r="BP46" s="11">
        <f t="shared" si="3"/>
        <v>2.1376853884144338</v>
      </c>
      <c r="BQ46" s="11">
        <f t="shared" si="3"/>
        <v>1.8704666741928551</v>
      </c>
      <c r="BR46" s="11">
        <f t="shared" si="3"/>
        <v>3.482064242928919</v>
      </c>
      <c r="BS46" s="11">
        <f t="shared" si="3"/>
        <v>2.0661588731577392</v>
      </c>
      <c r="BT46" s="12">
        <f t="shared" si="3"/>
        <v>5.671915735400777</v>
      </c>
    </row>
    <row r="48" spans="2:72" ht="18.75" x14ac:dyDescent="0.3">
      <c r="B48" s="22" t="s">
        <v>55</v>
      </c>
    </row>
    <row r="49" spans="2:72" ht="15.75" thickBot="1" x14ac:dyDescent="0.3"/>
    <row r="50" spans="2:72" ht="15.75" thickBot="1" x14ac:dyDescent="0.3">
      <c r="B50" s="34" t="s">
        <v>56</v>
      </c>
      <c r="C50" s="35"/>
      <c r="D50" s="35"/>
      <c r="E50" s="35"/>
      <c r="F50" s="35"/>
      <c r="G50" s="35"/>
      <c r="H50" s="35"/>
      <c r="I50" s="36"/>
      <c r="K50" s="49" t="s">
        <v>56</v>
      </c>
      <c r="L50" s="50"/>
      <c r="M50" s="50"/>
      <c r="N50" s="50"/>
      <c r="O50" s="50"/>
      <c r="P50" s="50"/>
      <c r="Q50" s="50"/>
      <c r="R50" s="51"/>
      <c r="T50" s="52" t="s">
        <v>56</v>
      </c>
      <c r="U50" s="53"/>
      <c r="V50" s="53"/>
      <c r="W50" s="53"/>
      <c r="X50" s="53"/>
      <c r="Y50" s="53"/>
      <c r="Z50" s="53"/>
      <c r="AA50" s="54"/>
      <c r="AC50" s="52" t="s">
        <v>56</v>
      </c>
      <c r="AD50" s="53"/>
      <c r="AE50" s="53"/>
      <c r="AF50" s="53"/>
      <c r="AG50" s="53"/>
      <c r="AH50" s="53"/>
      <c r="AI50" s="53"/>
      <c r="AJ50" s="54"/>
      <c r="AK50" s="3"/>
      <c r="AL50" s="52" t="s">
        <v>56</v>
      </c>
      <c r="AM50" s="53"/>
      <c r="AN50" s="53"/>
      <c r="AO50" s="53"/>
      <c r="AP50" s="53"/>
      <c r="AQ50" s="53"/>
      <c r="AR50" s="53"/>
      <c r="AS50" s="54"/>
      <c r="AU50" s="45" t="s">
        <v>56</v>
      </c>
      <c r="AV50" s="46"/>
      <c r="AW50" s="46"/>
      <c r="AX50" s="46"/>
      <c r="AY50" s="46"/>
      <c r="AZ50" s="46"/>
      <c r="BA50" s="46"/>
      <c r="BB50" s="47"/>
      <c r="BD50" s="45" t="s">
        <v>56</v>
      </c>
      <c r="BE50" s="46"/>
      <c r="BF50" s="46"/>
      <c r="BG50" s="46"/>
      <c r="BH50" s="46"/>
      <c r="BI50" s="46"/>
      <c r="BJ50" s="46"/>
      <c r="BK50" s="47"/>
      <c r="BM50" s="45" t="s">
        <v>56</v>
      </c>
      <c r="BN50" s="46"/>
      <c r="BO50" s="46"/>
      <c r="BP50" s="46"/>
      <c r="BQ50" s="46"/>
      <c r="BR50" s="46"/>
      <c r="BS50" s="46"/>
      <c r="BT50" s="47"/>
    </row>
    <row r="51" spans="2:72" x14ac:dyDescent="0.25">
      <c r="B51" s="7" t="s">
        <v>44</v>
      </c>
      <c r="C51" s="325" t="s">
        <v>57</v>
      </c>
      <c r="D51" s="325"/>
      <c r="E51" s="325"/>
      <c r="F51" s="325"/>
      <c r="G51" s="325"/>
      <c r="H51" s="325"/>
      <c r="I51" s="326"/>
      <c r="K51" s="7" t="s">
        <v>44</v>
      </c>
      <c r="L51" s="325" t="s">
        <v>57</v>
      </c>
      <c r="M51" s="325"/>
      <c r="N51" s="325"/>
      <c r="O51" s="325"/>
      <c r="P51" s="325"/>
      <c r="Q51" s="325"/>
      <c r="R51" s="326"/>
      <c r="T51" s="7" t="s">
        <v>44</v>
      </c>
      <c r="U51" s="325" t="s">
        <v>57</v>
      </c>
      <c r="V51" s="325"/>
      <c r="W51" s="325"/>
      <c r="X51" s="325"/>
      <c r="Y51" s="325"/>
      <c r="Z51" s="325"/>
      <c r="AA51" s="326"/>
      <c r="AC51" s="7" t="s">
        <v>44</v>
      </c>
      <c r="AD51" s="325" t="s">
        <v>57</v>
      </c>
      <c r="AE51" s="325"/>
      <c r="AF51" s="325"/>
      <c r="AG51" s="325"/>
      <c r="AH51" s="325"/>
      <c r="AI51" s="325"/>
      <c r="AJ51" s="326"/>
      <c r="AK51" s="3"/>
      <c r="AL51" s="7" t="s">
        <v>44</v>
      </c>
      <c r="AM51" s="325" t="s">
        <v>57</v>
      </c>
      <c r="AN51" s="325"/>
      <c r="AO51" s="325"/>
      <c r="AP51" s="325"/>
      <c r="AQ51" s="325"/>
      <c r="AR51" s="325"/>
      <c r="AS51" s="326"/>
      <c r="AU51" s="7" t="s">
        <v>44</v>
      </c>
      <c r="AV51" s="325" t="s">
        <v>57</v>
      </c>
      <c r="AW51" s="325"/>
      <c r="AX51" s="325"/>
      <c r="AY51" s="325"/>
      <c r="AZ51" s="325"/>
      <c r="BA51" s="325"/>
      <c r="BB51" s="326"/>
      <c r="BD51" s="7" t="s">
        <v>44</v>
      </c>
      <c r="BE51" s="325" t="s">
        <v>57</v>
      </c>
      <c r="BF51" s="325"/>
      <c r="BG51" s="325"/>
      <c r="BH51" s="325"/>
      <c r="BI51" s="325"/>
      <c r="BJ51" s="325"/>
      <c r="BK51" s="326"/>
      <c r="BM51" s="7" t="s">
        <v>44</v>
      </c>
      <c r="BN51" s="325" t="s">
        <v>57</v>
      </c>
      <c r="BO51" s="325"/>
      <c r="BP51" s="325"/>
      <c r="BQ51" s="325"/>
      <c r="BR51" s="325"/>
      <c r="BS51" s="325"/>
      <c r="BT51" s="326"/>
    </row>
    <row r="52" spans="2:72" x14ac:dyDescent="0.25">
      <c r="B52" s="5"/>
      <c r="C52" s="3" t="s">
        <v>46</v>
      </c>
      <c r="I52" s="10"/>
      <c r="K52" s="5"/>
      <c r="L52" s="3" t="s">
        <v>46</v>
      </c>
      <c r="M52" s="3"/>
      <c r="N52" s="3"/>
      <c r="O52" s="3"/>
      <c r="P52" s="3"/>
      <c r="Q52" s="3"/>
      <c r="R52" s="10"/>
      <c r="T52" s="5"/>
      <c r="U52" s="3" t="s">
        <v>46</v>
      </c>
      <c r="V52" s="3"/>
      <c r="W52" s="3"/>
      <c r="X52" s="3"/>
      <c r="Y52" s="3"/>
      <c r="Z52" s="3"/>
      <c r="AA52" s="10"/>
      <c r="AC52" s="5"/>
      <c r="AD52" s="3" t="s">
        <v>46</v>
      </c>
      <c r="AE52" s="3"/>
      <c r="AF52" s="3"/>
      <c r="AG52" s="3"/>
      <c r="AH52" s="3"/>
      <c r="AI52" s="3"/>
      <c r="AJ52" s="10"/>
      <c r="AK52" s="3"/>
      <c r="AL52" s="5"/>
      <c r="AM52" s="3" t="s">
        <v>46</v>
      </c>
      <c r="AN52" s="3"/>
      <c r="AO52" s="3"/>
      <c r="AP52" s="3"/>
      <c r="AQ52" s="3"/>
      <c r="AR52" s="3"/>
      <c r="AS52" s="10"/>
      <c r="AU52" s="5"/>
      <c r="AV52" s="3" t="s">
        <v>46</v>
      </c>
      <c r="AW52" s="3"/>
      <c r="AX52" s="3"/>
      <c r="AY52" s="3"/>
      <c r="AZ52" s="3"/>
      <c r="BA52" s="3"/>
      <c r="BB52" s="10"/>
      <c r="BD52" s="5"/>
      <c r="BE52" s="3" t="s">
        <v>46</v>
      </c>
      <c r="BF52" s="3"/>
      <c r="BG52" s="3"/>
      <c r="BH52" s="3"/>
      <c r="BI52" s="3"/>
      <c r="BJ52" s="3"/>
      <c r="BK52" s="10"/>
      <c r="BM52" s="5"/>
      <c r="BN52" s="3" t="s">
        <v>46</v>
      </c>
      <c r="BO52" s="3"/>
      <c r="BP52" s="3"/>
      <c r="BQ52" s="3"/>
      <c r="BR52" s="3"/>
      <c r="BS52" s="3"/>
      <c r="BT52" s="10"/>
    </row>
    <row r="53" spans="2:72" ht="15.75" thickBot="1" x14ac:dyDescent="0.3">
      <c r="B53" s="6"/>
      <c r="C53" s="11"/>
      <c r="D53" s="11" t="s">
        <v>47</v>
      </c>
      <c r="E53" s="11" t="s">
        <v>48</v>
      </c>
      <c r="F53" s="11" t="s">
        <v>47</v>
      </c>
      <c r="G53" s="11" t="s">
        <v>48</v>
      </c>
      <c r="H53" s="11" t="s">
        <v>47</v>
      </c>
      <c r="I53" s="12" t="s">
        <v>48</v>
      </c>
      <c r="K53" s="6"/>
      <c r="L53" s="11"/>
      <c r="M53" s="11" t="s">
        <v>47</v>
      </c>
      <c r="N53" s="11" t="s">
        <v>48</v>
      </c>
      <c r="O53" s="11" t="s">
        <v>47</v>
      </c>
      <c r="P53" s="11" t="s">
        <v>48</v>
      </c>
      <c r="Q53" s="11" t="s">
        <v>47</v>
      </c>
      <c r="R53" s="12" t="s">
        <v>48</v>
      </c>
      <c r="T53" s="6"/>
      <c r="U53" s="11"/>
      <c r="V53" s="11" t="s">
        <v>47</v>
      </c>
      <c r="W53" s="11" t="s">
        <v>48</v>
      </c>
      <c r="X53" s="11" t="s">
        <v>47</v>
      </c>
      <c r="Y53" s="11" t="s">
        <v>48</v>
      </c>
      <c r="Z53" s="11" t="s">
        <v>47</v>
      </c>
      <c r="AA53" s="12" t="s">
        <v>48</v>
      </c>
      <c r="AC53" s="6"/>
      <c r="AD53" s="11"/>
      <c r="AE53" s="11" t="s">
        <v>47</v>
      </c>
      <c r="AF53" s="11" t="s">
        <v>48</v>
      </c>
      <c r="AG53" s="11" t="s">
        <v>47</v>
      </c>
      <c r="AH53" s="11" t="s">
        <v>48</v>
      </c>
      <c r="AI53" s="11" t="s">
        <v>47</v>
      </c>
      <c r="AJ53" s="12" t="s">
        <v>48</v>
      </c>
      <c r="AK53" s="3"/>
      <c r="AL53" s="6"/>
      <c r="AM53" s="11"/>
      <c r="AN53" s="11" t="s">
        <v>47</v>
      </c>
      <c r="AO53" s="11" t="s">
        <v>48</v>
      </c>
      <c r="AP53" s="11" t="s">
        <v>47</v>
      </c>
      <c r="AQ53" s="11" t="s">
        <v>48</v>
      </c>
      <c r="AR53" s="11" t="s">
        <v>47</v>
      </c>
      <c r="AS53" s="12" t="s">
        <v>48</v>
      </c>
      <c r="AU53" s="6"/>
      <c r="AV53" s="11"/>
      <c r="AW53" s="11" t="s">
        <v>47</v>
      </c>
      <c r="AX53" s="11" t="s">
        <v>48</v>
      </c>
      <c r="AY53" s="11" t="s">
        <v>47</v>
      </c>
      <c r="AZ53" s="11" t="s">
        <v>48</v>
      </c>
      <c r="BA53" s="11" t="s">
        <v>47</v>
      </c>
      <c r="BB53" s="12" t="s">
        <v>48</v>
      </c>
      <c r="BD53" s="6"/>
      <c r="BE53" s="11"/>
      <c r="BF53" s="11" t="s">
        <v>47</v>
      </c>
      <c r="BG53" s="11" t="s">
        <v>48</v>
      </c>
      <c r="BH53" s="11" t="s">
        <v>47</v>
      </c>
      <c r="BI53" s="11" t="s">
        <v>48</v>
      </c>
      <c r="BJ53" s="11" t="s">
        <v>47</v>
      </c>
      <c r="BK53" s="12" t="s">
        <v>48</v>
      </c>
      <c r="BM53" s="6"/>
      <c r="BN53" s="11"/>
      <c r="BO53" s="11" t="s">
        <v>47</v>
      </c>
      <c r="BP53" s="11" t="s">
        <v>48</v>
      </c>
      <c r="BQ53" s="11" t="s">
        <v>47</v>
      </c>
      <c r="BR53" s="11" t="s">
        <v>48</v>
      </c>
      <c r="BS53" s="11" t="s">
        <v>47</v>
      </c>
      <c r="BT53" s="12" t="s">
        <v>48</v>
      </c>
    </row>
    <row r="54" spans="2:72" x14ac:dyDescent="0.25">
      <c r="B54" s="5" t="s">
        <v>49</v>
      </c>
      <c r="C54" s="3">
        <f>C59*0.05</f>
        <v>3.363476447644765E-2</v>
      </c>
      <c r="D54" s="3">
        <f>C54*(1.01)^6</f>
        <v>3.5703980252467876E-2</v>
      </c>
      <c r="E54" s="3">
        <f>C54*(1.05)^6</f>
        <v>4.5073801248336105E-2</v>
      </c>
      <c r="F54" s="3">
        <f>C54*(1.01)^16</f>
        <v>3.9439406552120748E-2</v>
      </c>
      <c r="G54" s="3">
        <f>C54*(1.05)^16</f>
        <v>7.3420472661849034E-2</v>
      </c>
      <c r="H54" s="3">
        <f>C54*(1.01)^26</f>
        <v>4.3565641090560214E-2</v>
      </c>
      <c r="I54" s="10">
        <f>C54*(1.05)^26</f>
        <v>0.11959421341434592</v>
      </c>
      <c r="K54" s="5" t="s">
        <v>49</v>
      </c>
      <c r="L54" s="3">
        <f>L59*0.05</f>
        <v>1.7891972697269727E-2</v>
      </c>
      <c r="M54" s="3">
        <f>L54*(1.01)^6</f>
        <v>1.8992689552154742E-2</v>
      </c>
      <c r="N54" s="3">
        <f>L54*(1.05)^6</f>
        <v>2.3976954613792685E-2</v>
      </c>
      <c r="O54" s="3">
        <f>L54*(1.01)^16</f>
        <v>2.0979745100376354E-2</v>
      </c>
      <c r="P54" s="3">
        <f>L54*(1.05)^16</f>
        <v>3.9055932536893496E-2</v>
      </c>
      <c r="Q54" s="3">
        <f>L54*(1.01)^26</f>
        <v>2.3174690623363036E-2</v>
      </c>
      <c r="R54" s="10">
        <f>L54*(1.05)^26</f>
        <v>6.3617998653128061E-2</v>
      </c>
      <c r="T54" s="5" t="s">
        <v>49</v>
      </c>
      <c r="U54" s="3">
        <f>U59*0.05</f>
        <v>1.5146489648964899E-3</v>
      </c>
      <c r="V54" s="3">
        <f>U54*(1.01)^6</f>
        <v>1.607830397324571E-3</v>
      </c>
      <c r="W54" s="3">
        <f>U54*(1.05)^6</f>
        <v>2.0297744749349549E-3</v>
      </c>
      <c r="X54" s="3">
        <f>U54*(1.01)^16</f>
        <v>1.7760450307934092E-3</v>
      </c>
      <c r="Y54" s="3">
        <f>U54*(1.05)^16</f>
        <v>3.3062887357915511E-3</v>
      </c>
      <c r="Z54" s="3">
        <f>U54*(1.01)^26</f>
        <v>1.9618586367410244E-3</v>
      </c>
      <c r="AA54" s="10">
        <f>U54*(1.05)^26</f>
        <v>5.3855959563056379E-3</v>
      </c>
      <c r="AC54" s="5" t="s">
        <v>49</v>
      </c>
      <c r="AD54" s="3">
        <f>AD59*0.05</f>
        <v>1.8198642364236428E-3</v>
      </c>
      <c r="AE54" s="3">
        <f>AD54*(1.01)^6</f>
        <v>1.9318225583217995E-3</v>
      </c>
      <c r="AF54" s="3">
        <f>AD54*(1.05)^6</f>
        <v>2.4387921297606679E-3</v>
      </c>
      <c r="AG54" s="3">
        <f>AD54*(1.01)^16</f>
        <v>2.1339339402907369E-3</v>
      </c>
      <c r="AH54" s="3">
        <f>AD54*(1.05)^16</f>
        <v>3.9725353959942653E-3</v>
      </c>
      <c r="AI54" s="3">
        <f>AD54*(1.01)^26</f>
        <v>2.3571906446110606E-3</v>
      </c>
      <c r="AJ54" s="10">
        <f>AD54*(1.05)^26</f>
        <v>6.4708415612182556E-3</v>
      </c>
      <c r="AK54" s="3"/>
      <c r="AL54" s="5" t="s">
        <v>49</v>
      </c>
      <c r="AM54" s="3">
        <f>AM59*0.05</f>
        <v>3.3345132013201332E-3</v>
      </c>
      <c r="AN54" s="3">
        <f>AM54*(1.01)^6</f>
        <v>3.539652955646371E-3</v>
      </c>
      <c r="AO54" s="3">
        <f t="shared" ref="AO54:AO59" si="40">AM54*(1.05)^6</f>
        <v>4.4685666046956236E-3</v>
      </c>
      <c r="AP54" s="3">
        <f t="shared" ref="AP54:AP59" si="41">AM54*(1.01)^16</f>
        <v>3.9099789710841468E-3</v>
      </c>
      <c r="AQ54" s="3">
        <f t="shared" ref="AQ54:AQ59" si="42">AM54*(1.05)^16</f>
        <v>7.2788241317858172E-3</v>
      </c>
      <c r="AR54" s="3">
        <f t="shared" ref="AR54:AR59" si="43">AM54*(1.01)^26</f>
        <v>4.3190492813520859E-3</v>
      </c>
      <c r="AS54" s="10">
        <f t="shared" ref="AS54:AS59" si="44">AM54*(1.05)^26</f>
        <v>1.1856437517523894E-2</v>
      </c>
      <c r="AU54" s="5" t="s">
        <v>49</v>
      </c>
      <c r="AV54" s="3">
        <f>AV59*0.05</f>
        <v>9.9813081308130851E-4</v>
      </c>
      <c r="AW54" s="3">
        <f>AV54*(1.01)^6</f>
        <v>1.0595359710215693E-3</v>
      </c>
      <c r="AX54" s="3">
        <f>AV54*(1.05)^6</f>
        <v>1.3375907513837482E-3</v>
      </c>
      <c r="AY54" s="3">
        <f>AV54*(1.01)^16</f>
        <v>1.1703868762594704E-3</v>
      </c>
      <c r="AZ54" s="3">
        <f>AV54*(1.05)^16</f>
        <v>2.1787943877561887E-3</v>
      </c>
      <c r="BA54" s="3">
        <f>AV54*(1.01)^26</f>
        <v>1.2928352388071169E-3</v>
      </c>
      <c r="BB54" s="10">
        <f>AV54*(1.05)^26</f>
        <v>3.5490264710689012E-3</v>
      </c>
      <c r="BD54" s="5" t="s">
        <v>49</v>
      </c>
      <c r="BE54" s="3">
        <f>BE59*0.05</f>
        <v>1.3948691119111912E-3</v>
      </c>
      <c r="BF54" s="3">
        <f>BE54*(1.01)^6</f>
        <v>1.480681669744651E-3</v>
      </c>
      <c r="BG54" s="3">
        <f>BE54*(1.05)^6</f>
        <v>1.8692580161146525E-3</v>
      </c>
      <c r="BH54" s="3">
        <f>BE54*(1.01)^16</f>
        <v>1.6355937330907477E-3</v>
      </c>
      <c r="BI54" s="3">
        <f>BE54*(1.05)^16</f>
        <v>3.0448243385098181E-3</v>
      </c>
      <c r="BJ54" s="3">
        <f>BE54*(1.01)^26</f>
        <v>1.8067130257559485E-3</v>
      </c>
      <c r="BK54" s="10">
        <f>BE54*(1.05)^26</f>
        <v>4.9596980044798213E-3</v>
      </c>
      <c r="BM54" s="5" t="s">
        <v>49</v>
      </c>
      <c r="BN54" s="3">
        <f>BN59*0.05</f>
        <v>2.3929999249924995E-3</v>
      </c>
      <c r="BO54" s="3">
        <f>BN54*(1.01)^6</f>
        <v>2.54021764076622E-3</v>
      </c>
      <c r="BP54" s="3">
        <f>BN54*(1.05)^6</f>
        <v>3.2068487674984003E-3</v>
      </c>
      <c r="BQ54" s="3">
        <f>BN54*(1.01)^16</f>
        <v>2.8059806093502179E-3</v>
      </c>
      <c r="BR54" s="3">
        <f>BN54*(1.05)^16</f>
        <v>5.2236187262660059E-3</v>
      </c>
      <c r="BS54" s="3">
        <f>BN54*(1.01)^26</f>
        <v>3.0995482645630652E-3</v>
      </c>
      <c r="BT54" s="10">
        <f>BN54*(1.05)^26</f>
        <v>8.5087244755487207E-3</v>
      </c>
    </row>
    <row r="55" spans="2:72" x14ac:dyDescent="0.25">
      <c r="B55" s="5" t="s">
        <v>50</v>
      </c>
      <c r="C55" s="3">
        <f>C59*0.1</f>
        <v>6.7269528952895299E-2</v>
      </c>
      <c r="D55" s="3">
        <f t="shared" ref="D55:D58" si="45">C55*(1.01)^6</f>
        <v>7.1407960504935752E-2</v>
      </c>
      <c r="E55" s="3">
        <f t="shared" ref="E55:E59" si="46">C55*(1.05)^6</f>
        <v>9.0147602496672211E-2</v>
      </c>
      <c r="F55" s="3">
        <f t="shared" ref="F55:F59" si="47">C55*(1.01)^16</f>
        <v>7.8878813104241496E-2</v>
      </c>
      <c r="G55" s="3">
        <f t="shared" ref="G55:G59" si="48">C55*(1.05)^16</f>
        <v>0.14684094532369807</v>
      </c>
      <c r="H55" s="3">
        <f t="shared" ref="H55:H59" si="49">C55*(1.01)^26</f>
        <v>8.7131282181120429E-2</v>
      </c>
      <c r="I55" s="10">
        <f t="shared" ref="I55:I58" si="50">C55*(1.05)^26</f>
        <v>0.23918842682869185</v>
      </c>
      <c r="K55" s="5" t="s">
        <v>50</v>
      </c>
      <c r="L55" s="3">
        <f>L59*0.1</f>
        <v>3.5783945394539454E-2</v>
      </c>
      <c r="M55" s="3">
        <f t="shared" ref="M55:M58" si="51">L55*(1.01)^6</f>
        <v>3.7985379104309484E-2</v>
      </c>
      <c r="N55" s="3">
        <f t="shared" ref="N55:N59" si="52">L55*(1.05)^6</f>
        <v>4.795390922758537E-2</v>
      </c>
      <c r="O55" s="3">
        <f t="shared" ref="O55:O59" si="53">L55*(1.01)^16</f>
        <v>4.1959490200752708E-2</v>
      </c>
      <c r="P55" s="3">
        <f t="shared" ref="P55:P59" si="54">L55*(1.05)^16</f>
        <v>7.8111865073786993E-2</v>
      </c>
      <c r="Q55" s="3">
        <f t="shared" ref="Q55:Q59" si="55">L55*(1.01)^26</f>
        <v>4.6349381246726072E-2</v>
      </c>
      <c r="R55" s="10">
        <f t="shared" ref="R55:R58" si="56">L55*(1.05)^26</f>
        <v>0.12723599730625612</v>
      </c>
      <c r="T55" s="5" t="s">
        <v>50</v>
      </c>
      <c r="U55" s="3">
        <f>U59*0.1</f>
        <v>3.0292979297929798E-3</v>
      </c>
      <c r="V55" s="3">
        <f t="shared" ref="V55:V58" si="57">U55*(1.01)^6</f>
        <v>3.215660794649142E-3</v>
      </c>
      <c r="W55" s="3">
        <f t="shared" ref="W55:W59" si="58">U55*(1.05)^6</f>
        <v>4.0595489498699098E-3</v>
      </c>
      <c r="X55" s="3">
        <f t="shared" ref="X55:X59" si="59">U55*(1.01)^16</f>
        <v>3.5520900615868185E-3</v>
      </c>
      <c r="Y55" s="3">
        <f t="shared" ref="Y55:Y59" si="60">U55*(1.05)^16</f>
        <v>6.6125774715831021E-3</v>
      </c>
      <c r="Z55" s="3">
        <f t="shared" ref="Z55:Z59" si="61">U55*(1.01)^26</f>
        <v>3.9237172734820488E-3</v>
      </c>
      <c r="AA55" s="10">
        <f t="shared" ref="AA55:AA58" si="62">U55*(1.05)^26</f>
        <v>1.0771191912611276E-2</v>
      </c>
      <c r="AC55" s="5" t="s">
        <v>50</v>
      </c>
      <c r="AD55" s="3">
        <f>AD59*0.1</f>
        <v>3.6397284728472857E-3</v>
      </c>
      <c r="AE55" s="3">
        <f t="shared" ref="AE55:AE58" si="63">AD55*(1.01)^6</f>
        <v>3.863645116643599E-3</v>
      </c>
      <c r="AF55" s="3">
        <f t="shared" ref="AF55:AF59" si="64">AD55*(1.05)^6</f>
        <v>4.8775842595213358E-3</v>
      </c>
      <c r="AG55" s="3">
        <f t="shared" ref="AG55:AG59" si="65">AD55*(1.01)^16</f>
        <v>4.2678678805814739E-3</v>
      </c>
      <c r="AH55" s="3">
        <f t="shared" ref="AH55:AH59" si="66">AD55*(1.05)^16</f>
        <v>7.9450707919885306E-3</v>
      </c>
      <c r="AI55" s="3">
        <f t="shared" ref="AI55:AI59" si="67">AD55*(1.01)^26</f>
        <v>4.7143812892221212E-3</v>
      </c>
      <c r="AJ55" s="10">
        <f t="shared" ref="AJ55:AJ58" si="68">AD55*(1.05)^26</f>
        <v>1.2941683122436511E-2</v>
      </c>
      <c r="AK55" s="3"/>
      <c r="AL55" s="5" t="s">
        <v>50</v>
      </c>
      <c r="AM55" s="3">
        <f>AM59*0.1</f>
        <v>6.6690264026402664E-3</v>
      </c>
      <c r="AN55" s="3">
        <f t="shared" ref="AN55:AN58" si="69">AM55*(1.01)^6</f>
        <v>7.0793059112927419E-3</v>
      </c>
      <c r="AO55" s="3">
        <f t="shared" si="40"/>
        <v>8.9371332093912473E-3</v>
      </c>
      <c r="AP55" s="3">
        <f t="shared" si="41"/>
        <v>7.8199579421682937E-3</v>
      </c>
      <c r="AQ55" s="3">
        <f t="shared" si="42"/>
        <v>1.4557648263571634E-2</v>
      </c>
      <c r="AR55" s="3">
        <f t="shared" si="43"/>
        <v>8.6380985627041718E-3</v>
      </c>
      <c r="AS55" s="10">
        <f t="shared" si="44"/>
        <v>2.3712875035047789E-2</v>
      </c>
      <c r="AU55" s="5" t="s">
        <v>50</v>
      </c>
      <c r="AV55" s="3">
        <f>AV59*0.1</f>
        <v>1.996261626162617E-3</v>
      </c>
      <c r="AW55" s="3">
        <f t="shared" ref="AW55:AW58" si="70">AV55*(1.01)^6</f>
        <v>2.1190719420431385E-3</v>
      </c>
      <c r="AX55" s="3">
        <f t="shared" ref="AX55:AX59" si="71">AV55*(1.05)^6</f>
        <v>2.6751815027674965E-3</v>
      </c>
      <c r="AY55" s="3">
        <f t="shared" ref="AY55:AY59" si="72">AV55*(1.01)^16</f>
        <v>2.3407737525189408E-3</v>
      </c>
      <c r="AZ55" s="3">
        <f t="shared" ref="AZ55:AZ59" si="73">AV55*(1.05)^16</f>
        <v>4.3575887755123773E-3</v>
      </c>
      <c r="BA55" s="3">
        <f t="shared" ref="BA55:BA59" si="74">AV55*(1.01)^26</f>
        <v>2.5856704776142337E-3</v>
      </c>
      <c r="BB55" s="10">
        <f t="shared" ref="BB55:BB58" si="75">AV55*(1.05)^26</f>
        <v>7.0980529421378023E-3</v>
      </c>
      <c r="BD55" s="5" t="s">
        <v>50</v>
      </c>
      <c r="BE55" s="3">
        <f>BE59*0.1</f>
        <v>2.7897382238223824E-3</v>
      </c>
      <c r="BF55" s="3">
        <f t="shared" ref="BF55:BF58" si="76">BE55*(1.01)^6</f>
        <v>2.961363339489302E-3</v>
      </c>
      <c r="BG55" s="3">
        <f t="shared" ref="BG55:BG59" si="77">BE55*(1.05)^6</f>
        <v>3.738516032229305E-3</v>
      </c>
      <c r="BH55" s="3">
        <f t="shared" ref="BH55:BH59" si="78">BE55*(1.01)^16</f>
        <v>3.2711874661814954E-3</v>
      </c>
      <c r="BI55" s="3">
        <f t="shared" ref="BI55:BI59" si="79">BE55*(1.05)^16</f>
        <v>6.0896486770196361E-3</v>
      </c>
      <c r="BJ55" s="3">
        <f t="shared" ref="BJ55:BJ59" si="80">BE55*(1.01)^26</f>
        <v>3.6134260515118971E-3</v>
      </c>
      <c r="BK55" s="10">
        <f t="shared" ref="BK55:BK58" si="81">BE55*(1.05)^26</f>
        <v>9.9193960089596425E-3</v>
      </c>
      <c r="BM55" s="5" t="s">
        <v>50</v>
      </c>
      <c r="BN55" s="3">
        <f>BN59*0.1</f>
        <v>4.785999849984999E-3</v>
      </c>
      <c r="BO55" s="3">
        <f t="shared" ref="BO55:BO58" si="82">BN55*(1.01)^6</f>
        <v>5.0804352815324401E-3</v>
      </c>
      <c r="BP55" s="3">
        <f t="shared" ref="BP55:BP59" si="83">BN55*(1.05)^6</f>
        <v>6.4136975349968007E-3</v>
      </c>
      <c r="BQ55" s="3">
        <f t="shared" ref="BQ55:BQ59" si="84">BN55*(1.01)^16</f>
        <v>5.6119612187004357E-3</v>
      </c>
      <c r="BR55" s="3">
        <f t="shared" ref="BR55:BR59" si="85">BN55*(1.05)^16</f>
        <v>1.0447237452532012E-2</v>
      </c>
      <c r="BS55" s="3">
        <f t="shared" ref="BS55:BS59" si="86">BN55*(1.01)^26</f>
        <v>6.1990965291261304E-3</v>
      </c>
      <c r="BT55" s="10">
        <f t="shared" ref="BT55:BT58" si="87">BN55*(1.05)^26</f>
        <v>1.7017448951097441E-2</v>
      </c>
    </row>
    <row r="56" spans="2:72" x14ac:dyDescent="0.25">
      <c r="B56" s="5" t="s">
        <v>51</v>
      </c>
      <c r="C56" s="3">
        <f>C59*0.25</f>
        <v>0.16817382238223824</v>
      </c>
      <c r="D56" s="3">
        <f t="shared" si="45"/>
        <v>0.17851990126233938</v>
      </c>
      <c r="E56" s="3">
        <f t="shared" si="46"/>
        <v>0.22536900624168052</v>
      </c>
      <c r="F56" s="3">
        <f t="shared" si="47"/>
        <v>0.19719703276060371</v>
      </c>
      <c r="G56" s="3">
        <f t="shared" si="48"/>
        <v>0.36710236330924512</v>
      </c>
      <c r="H56" s="3">
        <f t="shared" si="49"/>
        <v>0.21782820545280107</v>
      </c>
      <c r="I56" s="10">
        <f t="shared" si="50"/>
        <v>0.59797106707172965</v>
      </c>
      <c r="K56" s="5" t="s">
        <v>51</v>
      </c>
      <c r="L56" s="3">
        <f>L59*0.25</f>
        <v>8.9459863486348629E-2</v>
      </c>
      <c r="M56" s="3">
        <f t="shared" si="51"/>
        <v>9.4963447760773714E-2</v>
      </c>
      <c r="N56" s="3">
        <f t="shared" si="52"/>
        <v>0.1198847730689634</v>
      </c>
      <c r="O56" s="3">
        <f t="shared" si="53"/>
        <v>0.10489872550188176</v>
      </c>
      <c r="P56" s="3">
        <f t="shared" si="54"/>
        <v>0.19527966268446745</v>
      </c>
      <c r="Q56" s="3">
        <f t="shared" si="55"/>
        <v>0.11587345311681517</v>
      </c>
      <c r="R56" s="10">
        <f t="shared" si="56"/>
        <v>0.3180899932656403</v>
      </c>
      <c r="T56" s="5" t="s">
        <v>51</v>
      </c>
      <c r="U56" s="3">
        <f>U59*0.25</f>
        <v>7.5732448244824491E-3</v>
      </c>
      <c r="V56" s="3">
        <f t="shared" si="57"/>
        <v>8.0391519866228542E-3</v>
      </c>
      <c r="W56" s="3">
        <f t="shared" si="58"/>
        <v>1.0148872374674774E-2</v>
      </c>
      <c r="X56" s="3">
        <f t="shared" si="59"/>
        <v>8.880225153967046E-3</v>
      </c>
      <c r="Y56" s="3">
        <f t="shared" si="60"/>
        <v>1.6531443678957754E-2</v>
      </c>
      <c r="Z56" s="3">
        <f t="shared" si="61"/>
        <v>9.8092931837051207E-3</v>
      </c>
      <c r="AA56" s="10">
        <f t="shared" si="62"/>
        <v>2.6927979781528187E-2</v>
      </c>
      <c r="AC56" s="5" t="s">
        <v>51</v>
      </c>
      <c r="AD56" s="3">
        <f>AD59*0.25</f>
        <v>9.0993211821182134E-3</v>
      </c>
      <c r="AE56" s="3">
        <f t="shared" si="63"/>
        <v>9.6591127916089963E-3</v>
      </c>
      <c r="AF56" s="3">
        <f t="shared" si="64"/>
        <v>1.2193960648803339E-2</v>
      </c>
      <c r="AG56" s="3">
        <f t="shared" si="65"/>
        <v>1.0669669701453683E-2</v>
      </c>
      <c r="AH56" s="3">
        <f t="shared" si="66"/>
        <v>1.9862676979971326E-2</v>
      </c>
      <c r="AI56" s="3">
        <f t="shared" si="67"/>
        <v>1.1785953223055303E-2</v>
      </c>
      <c r="AJ56" s="10">
        <f t="shared" si="68"/>
        <v>3.2354207806091273E-2</v>
      </c>
      <c r="AK56" s="3"/>
      <c r="AL56" s="5" t="s">
        <v>51</v>
      </c>
      <c r="AM56" s="3">
        <f>AM59*0.25</f>
        <v>1.6672566006600664E-2</v>
      </c>
      <c r="AN56" s="3">
        <f t="shared" si="69"/>
        <v>1.7698264778231852E-2</v>
      </c>
      <c r="AO56" s="3">
        <f t="shared" si="40"/>
        <v>2.2342833023478115E-2</v>
      </c>
      <c r="AP56" s="3">
        <f t="shared" si="41"/>
        <v>1.9549894855420732E-2</v>
      </c>
      <c r="AQ56" s="3">
        <f t="shared" si="42"/>
        <v>3.6394120658929087E-2</v>
      </c>
      <c r="AR56" s="3">
        <f t="shared" si="43"/>
        <v>2.1595246406760426E-2</v>
      </c>
      <c r="AS56" s="10">
        <f t="shared" si="44"/>
        <v>5.9282187587619467E-2</v>
      </c>
      <c r="AU56" s="5" t="s">
        <v>51</v>
      </c>
      <c r="AV56" s="3">
        <f>AV59*0.25</f>
        <v>4.9906540654065419E-3</v>
      </c>
      <c r="AW56" s="3">
        <f t="shared" si="70"/>
        <v>5.2976798551078461E-3</v>
      </c>
      <c r="AX56" s="3">
        <f t="shared" si="71"/>
        <v>6.6879537569187403E-3</v>
      </c>
      <c r="AY56" s="3">
        <f t="shared" si="72"/>
        <v>5.8519343812973509E-3</v>
      </c>
      <c r="AZ56" s="3">
        <f t="shared" si="73"/>
        <v>1.0893971938780941E-2</v>
      </c>
      <c r="BA56" s="3">
        <f t="shared" si="74"/>
        <v>6.4641761940355839E-3</v>
      </c>
      <c r="BB56" s="10">
        <f t="shared" si="75"/>
        <v>1.7745132355344504E-2</v>
      </c>
      <c r="BD56" s="5" t="s">
        <v>51</v>
      </c>
      <c r="BE56" s="3">
        <f>BE59*0.25</f>
        <v>6.9743455595559552E-3</v>
      </c>
      <c r="BF56" s="3">
        <f t="shared" si="76"/>
        <v>7.4034083487232545E-3</v>
      </c>
      <c r="BG56" s="3">
        <f t="shared" si="77"/>
        <v>9.3462900805732618E-3</v>
      </c>
      <c r="BH56" s="3">
        <f t="shared" si="78"/>
        <v>8.177968665453738E-3</v>
      </c>
      <c r="BI56" s="3">
        <f t="shared" si="79"/>
        <v>1.5224121692549089E-2</v>
      </c>
      <c r="BJ56" s="3">
        <f t="shared" si="80"/>
        <v>9.0335651287797424E-3</v>
      </c>
      <c r="BK56" s="10">
        <f t="shared" si="81"/>
        <v>2.4798490022399103E-2</v>
      </c>
      <c r="BM56" s="5" t="s">
        <v>51</v>
      </c>
      <c r="BN56" s="3">
        <f>BN59*0.25</f>
        <v>1.1964999624962497E-2</v>
      </c>
      <c r="BO56" s="3">
        <f t="shared" si="82"/>
        <v>1.2701088203831101E-2</v>
      </c>
      <c r="BP56" s="3">
        <f t="shared" si="83"/>
        <v>1.6034243837492003E-2</v>
      </c>
      <c r="BQ56" s="3">
        <f t="shared" si="84"/>
        <v>1.4029903046751089E-2</v>
      </c>
      <c r="BR56" s="3">
        <f t="shared" si="85"/>
        <v>2.6118093631330028E-2</v>
      </c>
      <c r="BS56" s="3">
        <f t="shared" si="86"/>
        <v>1.5497741322815325E-2</v>
      </c>
      <c r="BT56" s="10">
        <f t="shared" si="87"/>
        <v>4.2543622377743603E-2</v>
      </c>
    </row>
    <row r="57" spans="2:72" x14ac:dyDescent="0.25">
      <c r="B57" s="5" t="s">
        <v>52</v>
      </c>
      <c r="C57" s="3">
        <f>C59*0.5</f>
        <v>0.33634764476447648</v>
      </c>
      <c r="D57" s="3">
        <f t="shared" si="45"/>
        <v>0.35703980252467876</v>
      </c>
      <c r="E57" s="3">
        <f t="shared" si="46"/>
        <v>0.45073801248336104</v>
      </c>
      <c r="F57" s="3">
        <f t="shared" si="47"/>
        <v>0.39439406552120743</v>
      </c>
      <c r="G57" s="3">
        <f t="shared" si="48"/>
        <v>0.73420472661849023</v>
      </c>
      <c r="H57" s="3">
        <f t="shared" si="49"/>
        <v>0.43565641090560214</v>
      </c>
      <c r="I57" s="10">
        <f t="shared" si="50"/>
        <v>1.1959421341434593</v>
      </c>
      <c r="K57" s="5" t="s">
        <v>52</v>
      </c>
      <c r="L57" s="3">
        <f>L59*0.5</f>
        <v>0.17891972697269726</v>
      </c>
      <c r="M57" s="3">
        <f t="shared" si="51"/>
        <v>0.18992689552154743</v>
      </c>
      <c r="N57" s="3">
        <f t="shared" si="52"/>
        <v>0.23976954613792681</v>
      </c>
      <c r="O57" s="3">
        <f t="shared" si="53"/>
        <v>0.20979745100376351</v>
      </c>
      <c r="P57" s="3">
        <f t="shared" si="54"/>
        <v>0.3905593253689349</v>
      </c>
      <c r="Q57" s="3">
        <f t="shared" si="55"/>
        <v>0.23174690623363034</v>
      </c>
      <c r="R57" s="10">
        <f t="shared" si="56"/>
        <v>0.63617998653128061</v>
      </c>
      <c r="T57" s="5" t="s">
        <v>52</v>
      </c>
      <c r="U57" s="3">
        <f>U59*0.5</f>
        <v>1.5146489648964898E-2</v>
      </c>
      <c r="V57" s="3">
        <f t="shared" si="57"/>
        <v>1.6078303973245708E-2</v>
      </c>
      <c r="W57" s="3">
        <f t="shared" si="58"/>
        <v>2.0297744749349547E-2</v>
      </c>
      <c r="X57" s="3">
        <f t="shared" si="59"/>
        <v>1.7760450307934092E-2</v>
      </c>
      <c r="Y57" s="3">
        <f t="shared" si="60"/>
        <v>3.3062887357915509E-2</v>
      </c>
      <c r="Z57" s="3">
        <f t="shared" si="61"/>
        <v>1.9618586367410241E-2</v>
      </c>
      <c r="AA57" s="10">
        <f t="shared" si="62"/>
        <v>5.3855959563056374E-2</v>
      </c>
      <c r="AC57" s="5" t="s">
        <v>52</v>
      </c>
      <c r="AD57" s="3">
        <f>AD59*0.5</f>
        <v>1.8198642364236427E-2</v>
      </c>
      <c r="AE57" s="3">
        <f t="shared" si="63"/>
        <v>1.9318225583217993E-2</v>
      </c>
      <c r="AF57" s="3">
        <f t="shared" si="64"/>
        <v>2.4387921297606679E-2</v>
      </c>
      <c r="AG57" s="3">
        <f t="shared" si="65"/>
        <v>2.1339339402907366E-2</v>
      </c>
      <c r="AH57" s="3">
        <f t="shared" si="66"/>
        <v>3.9725353959942651E-2</v>
      </c>
      <c r="AI57" s="3">
        <f t="shared" si="67"/>
        <v>2.3571906446110607E-2</v>
      </c>
      <c r="AJ57" s="10">
        <f t="shared" si="68"/>
        <v>6.4708415612182546E-2</v>
      </c>
      <c r="AK57" s="3"/>
      <c r="AL57" s="5" t="s">
        <v>52</v>
      </c>
      <c r="AM57" s="3">
        <f>AM59*0.5</f>
        <v>3.3345132013201328E-2</v>
      </c>
      <c r="AN57" s="3">
        <f t="shared" si="69"/>
        <v>3.5396529556463704E-2</v>
      </c>
      <c r="AO57" s="3">
        <f t="shared" si="40"/>
        <v>4.4685666046956229E-2</v>
      </c>
      <c r="AP57" s="3">
        <f t="shared" si="41"/>
        <v>3.9099789710841465E-2</v>
      </c>
      <c r="AQ57" s="3">
        <f t="shared" si="42"/>
        <v>7.2788241317858174E-2</v>
      </c>
      <c r="AR57" s="3">
        <f t="shared" si="43"/>
        <v>4.3190492813520852E-2</v>
      </c>
      <c r="AS57" s="10">
        <f t="shared" si="44"/>
        <v>0.11856437517523893</v>
      </c>
      <c r="AU57" s="5" t="s">
        <v>52</v>
      </c>
      <c r="AV57" s="3">
        <f>AV59*0.5</f>
        <v>9.9813081308130838E-3</v>
      </c>
      <c r="AW57" s="3">
        <f t="shared" si="70"/>
        <v>1.0595359710215692E-2</v>
      </c>
      <c r="AX57" s="3">
        <f t="shared" si="71"/>
        <v>1.3375907513837481E-2</v>
      </c>
      <c r="AY57" s="3">
        <f t="shared" si="72"/>
        <v>1.1703868762594702E-2</v>
      </c>
      <c r="AZ57" s="3">
        <f t="shared" si="73"/>
        <v>2.1787943877561881E-2</v>
      </c>
      <c r="BA57" s="3">
        <f t="shared" si="74"/>
        <v>1.2928352388071168E-2</v>
      </c>
      <c r="BB57" s="10">
        <f t="shared" si="75"/>
        <v>3.5490264710689008E-2</v>
      </c>
      <c r="BD57" s="5" t="s">
        <v>52</v>
      </c>
      <c r="BE57" s="3">
        <f>BE59*0.5</f>
        <v>1.394869111911191E-2</v>
      </c>
      <c r="BF57" s="3">
        <f t="shared" si="76"/>
        <v>1.4806816697446509E-2</v>
      </c>
      <c r="BG57" s="3">
        <f t="shared" si="77"/>
        <v>1.8692580161146524E-2</v>
      </c>
      <c r="BH57" s="3">
        <f t="shared" si="78"/>
        <v>1.6355937330907476E-2</v>
      </c>
      <c r="BI57" s="3">
        <f t="shared" si="79"/>
        <v>3.0448243385098179E-2</v>
      </c>
      <c r="BJ57" s="3">
        <f t="shared" si="80"/>
        <v>1.8067130257559485E-2</v>
      </c>
      <c r="BK57" s="10">
        <f t="shared" si="81"/>
        <v>4.9596980044798206E-2</v>
      </c>
      <c r="BM57" s="5" t="s">
        <v>52</v>
      </c>
      <c r="BN57" s="3">
        <f>BN59*0.5</f>
        <v>2.3929999249924994E-2</v>
      </c>
      <c r="BO57" s="3">
        <f t="shared" si="82"/>
        <v>2.5402176407662201E-2</v>
      </c>
      <c r="BP57" s="3">
        <f t="shared" si="83"/>
        <v>3.2068487674984006E-2</v>
      </c>
      <c r="BQ57" s="3">
        <f t="shared" si="84"/>
        <v>2.8059806093502178E-2</v>
      </c>
      <c r="BR57" s="3">
        <f t="shared" si="85"/>
        <v>5.2236187262660057E-2</v>
      </c>
      <c r="BS57" s="3">
        <f t="shared" si="86"/>
        <v>3.0995482645630651E-2</v>
      </c>
      <c r="BT57" s="10">
        <f t="shared" si="87"/>
        <v>8.5087244755487207E-2</v>
      </c>
    </row>
    <row r="58" spans="2:72" x14ac:dyDescent="0.25">
      <c r="B58" s="5" t="s">
        <v>53</v>
      </c>
      <c r="C58" s="3">
        <f>C59*0.75</f>
        <v>0.50452146714671475</v>
      </c>
      <c r="D58" s="3">
        <f t="shared" si="45"/>
        <v>0.53555970378701823</v>
      </c>
      <c r="E58" s="3">
        <f t="shared" si="46"/>
        <v>0.67610701872504153</v>
      </c>
      <c r="F58" s="3">
        <f t="shared" si="47"/>
        <v>0.59159109828181122</v>
      </c>
      <c r="G58" s="3">
        <f t="shared" si="48"/>
        <v>1.1013070899277355</v>
      </c>
      <c r="H58" s="3">
        <f t="shared" si="49"/>
        <v>0.65348461635840327</v>
      </c>
      <c r="I58" s="10">
        <f t="shared" si="50"/>
        <v>1.793913201215189</v>
      </c>
      <c r="K58" s="5" t="s">
        <v>53</v>
      </c>
      <c r="L58" s="3">
        <f>L59*0.75</f>
        <v>0.26837959045904591</v>
      </c>
      <c r="M58" s="3">
        <f t="shared" si="51"/>
        <v>0.28489034328232116</v>
      </c>
      <c r="N58" s="3">
        <f t="shared" si="52"/>
        <v>0.35965431920689028</v>
      </c>
      <c r="O58" s="3">
        <f t="shared" si="53"/>
        <v>0.3146961765056453</v>
      </c>
      <c r="P58" s="3">
        <f t="shared" si="54"/>
        <v>0.5858389880534024</v>
      </c>
      <c r="Q58" s="3">
        <f t="shared" si="55"/>
        <v>0.34762035935044555</v>
      </c>
      <c r="R58" s="10">
        <f t="shared" si="56"/>
        <v>0.95426997979692096</v>
      </c>
      <c r="T58" s="5" t="s">
        <v>53</v>
      </c>
      <c r="U58" s="3">
        <f>U59*0.75</f>
        <v>2.2719734473447349E-2</v>
      </c>
      <c r="V58" s="3">
        <f t="shared" si="57"/>
        <v>2.4117455959868566E-2</v>
      </c>
      <c r="W58" s="3">
        <f t="shared" si="58"/>
        <v>3.0446617124024321E-2</v>
      </c>
      <c r="X58" s="3">
        <f t="shared" si="59"/>
        <v>2.6640675461901138E-2</v>
      </c>
      <c r="Y58" s="3">
        <f t="shared" si="60"/>
        <v>4.9594331036873267E-2</v>
      </c>
      <c r="Z58" s="3">
        <f t="shared" si="61"/>
        <v>2.9427879551115366E-2</v>
      </c>
      <c r="AA58" s="10">
        <f t="shared" si="62"/>
        <v>8.0783939344584568E-2</v>
      </c>
      <c r="AC58" s="5" t="s">
        <v>53</v>
      </c>
      <c r="AD58" s="3">
        <f>AD59*0.75</f>
        <v>2.729796354635464E-2</v>
      </c>
      <c r="AE58" s="3">
        <f t="shared" si="63"/>
        <v>2.8977338374826991E-2</v>
      </c>
      <c r="AF58" s="3">
        <f t="shared" si="64"/>
        <v>3.6581881946410016E-2</v>
      </c>
      <c r="AG58" s="3">
        <f t="shared" si="65"/>
        <v>3.2009009104361053E-2</v>
      </c>
      <c r="AH58" s="3">
        <f t="shared" si="66"/>
        <v>5.958803093991398E-2</v>
      </c>
      <c r="AI58" s="3">
        <f t="shared" si="67"/>
        <v>3.5357859669165909E-2</v>
      </c>
      <c r="AJ58" s="10">
        <f t="shared" si="68"/>
        <v>9.7062623418273833E-2</v>
      </c>
      <c r="AK58" s="3"/>
      <c r="AL58" s="5" t="s">
        <v>53</v>
      </c>
      <c r="AM58" s="3">
        <f>AM59*0.75</f>
        <v>5.0017698019801993E-2</v>
      </c>
      <c r="AN58" s="3">
        <f t="shared" si="69"/>
        <v>5.3094794334695557E-2</v>
      </c>
      <c r="AO58" s="3">
        <f t="shared" si="40"/>
        <v>6.7028499070434344E-2</v>
      </c>
      <c r="AP58" s="3">
        <f t="shared" si="41"/>
        <v>5.864968456626219E-2</v>
      </c>
      <c r="AQ58" s="3">
        <f t="shared" si="42"/>
        <v>0.10918236197678725</v>
      </c>
      <c r="AR58" s="3">
        <f t="shared" si="43"/>
        <v>6.4785739220281274E-2</v>
      </c>
      <c r="AS58" s="10">
        <f t="shared" si="44"/>
        <v>0.1778465627628584</v>
      </c>
      <c r="AU58" s="5" t="s">
        <v>53</v>
      </c>
      <c r="AV58" s="3">
        <f>AV59*0.75</f>
        <v>1.4971962196219626E-2</v>
      </c>
      <c r="AW58" s="3">
        <f t="shared" si="70"/>
        <v>1.5893039565323539E-2</v>
      </c>
      <c r="AX58" s="3">
        <f t="shared" si="71"/>
        <v>2.0063861270756222E-2</v>
      </c>
      <c r="AY58" s="3">
        <f t="shared" si="72"/>
        <v>1.7555803143892053E-2</v>
      </c>
      <c r="AZ58" s="3">
        <f t="shared" si="73"/>
        <v>3.2681915816342826E-2</v>
      </c>
      <c r="BA58" s="3">
        <f t="shared" si="74"/>
        <v>1.9392528582106751E-2</v>
      </c>
      <c r="BB58" s="10">
        <f t="shared" si="75"/>
        <v>5.3235397066033509E-2</v>
      </c>
      <c r="BD58" s="5" t="s">
        <v>53</v>
      </c>
      <c r="BE58" s="3">
        <f>BE59*0.75</f>
        <v>2.0923036678667864E-2</v>
      </c>
      <c r="BF58" s="3">
        <f t="shared" si="76"/>
        <v>2.2210225046169759E-2</v>
      </c>
      <c r="BG58" s="3">
        <f t="shared" si="77"/>
        <v>2.8038870241719784E-2</v>
      </c>
      <c r="BH58" s="3">
        <f t="shared" si="78"/>
        <v>2.453390599636121E-2</v>
      </c>
      <c r="BI58" s="3">
        <f t="shared" si="79"/>
        <v>4.5672365077647263E-2</v>
      </c>
      <c r="BJ58" s="3">
        <f t="shared" si="80"/>
        <v>2.7100695386339222E-2</v>
      </c>
      <c r="BK58" s="10">
        <f t="shared" si="81"/>
        <v>7.4395470067197295E-2</v>
      </c>
      <c r="BM58" s="5" t="s">
        <v>53</v>
      </c>
      <c r="BN58" s="3">
        <f>BN59*0.75</f>
        <v>3.5894998874887493E-2</v>
      </c>
      <c r="BO58" s="3">
        <f t="shared" si="82"/>
        <v>3.8103264611493305E-2</v>
      </c>
      <c r="BP58" s="3">
        <f t="shared" si="83"/>
        <v>4.8102731512476009E-2</v>
      </c>
      <c r="BQ58" s="3">
        <f t="shared" si="84"/>
        <v>4.208970914025327E-2</v>
      </c>
      <c r="BR58" s="3">
        <f t="shared" si="85"/>
        <v>7.8354280893990089E-2</v>
      </c>
      <c r="BS58" s="3">
        <f t="shared" si="86"/>
        <v>4.6493223968445976E-2</v>
      </c>
      <c r="BT58" s="10">
        <f t="shared" si="87"/>
        <v>0.12763086713323082</v>
      </c>
    </row>
    <row r="59" spans="2:72" ht="15.75" thickBot="1" x14ac:dyDescent="0.3">
      <c r="B59" s="6" t="s">
        <v>54</v>
      </c>
      <c r="C59" s="11">
        <f>C46*($C$18/$C$19)/$D$19</f>
        <v>0.67269528952895297</v>
      </c>
      <c r="D59" s="11">
        <f>C59*(1.01)^6</f>
        <v>0.71407960504935752</v>
      </c>
      <c r="E59" s="11">
        <f t="shared" si="46"/>
        <v>0.90147602496672208</v>
      </c>
      <c r="F59" s="11">
        <f t="shared" si="47"/>
        <v>0.78878813104241485</v>
      </c>
      <c r="G59" s="11">
        <f t="shared" si="48"/>
        <v>1.4684094532369805</v>
      </c>
      <c r="H59" s="11">
        <f t="shared" si="49"/>
        <v>0.87131282181120429</v>
      </c>
      <c r="I59" s="12">
        <f>C59*(1.05)^26</f>
        <v>2.3918842682869186</v>
      </c>
      <c r="K59" s="6" t="s">
        <v>54</v>
      </c>
      <c r="L59" s="11">
        <f>L46*($C$18/$C$19)/$D$19</f>
        <v>0.35783945394539451</v>
      </c>
      <c r="M59" s="11">
        <f>L59*(1.01)^6</f>
        <v>0.37985379104309486</v>
      </c>
      <c r="N59" s="11">
        <f t="shared" si="52"/>
        <v>0.47953909227585362</v>
      </c>
      <c r="O59" s="11">
        <f t="shared" si="53"/>
        <v>0.41959490200752703</v>
      </c>
      <c r="P59" s="11">
        <f t="shared" si="54"/>
        <v>0.78111865073786979</v>
      </c>
      <c r="Q59" s="11">
        <f t="shared" si="55"/>
        <v>0.46349381246726068</v>
      </c>
      <c r="R59" s="12">
        <f>L59*(1.05)^26</f>
        <v>1.2723599730625612</v>
      </c>
      <c r="T59" s="6" t="s">
        <v>54</v>
      </c>
      <c r="U59" s="11">
        <f>U46*($C$18/$C$19)/$D$19</f>
        <v>3.0292979297929797E-2</v>
      </c>
      <c r="V59" s="11">
        <f>U59*(1.01)^6</f>
        <v>3.2156607946491417E-2</v>
      </c>
      <c r="W59" s="11">
        <f t="shared" si="58"/>
        <v>4.0595489498699094E-2</v>
      </c>
      <c r="X59" s="11">
        <f t="shared" si="59"/>
        <v>3.5520900615868184E-2</v>
      </c>
      <c r="Y59" s="11">
        <f t="shared" si="60"/>
        <v>6.6125774715831018E-2</v>
      </c>
      <c r="Z59" s="11">
        <f t="shared" si="61"/>
        <v>3.9237172734820483E-2</v>
      </c>
      <c r="AA59" s="12">
        <f>U59*(1.05)^26</f>
        <v>0.10771191912611275</v>
      </c>
      <c r="AC59" s="6" t="s">
        <v>54</v>
      </c>
      <c r="AD59" s="11">
        <f>AD46*($C$18/$C$19)/$D$19</f>
        <v>3.6397284728472853E-2</v>
      </c>
      <c r="AE59" s="11">
        <f>AD59*(1.01)^6</f>
        <v>3.8636451166435985E-2</v>
      </c>
      <c r="AF59" s="11">
        <f t="shared" si="64"/>
        <v>4.8775842595213358E-2</v>
      </c>
      <c r="AG59" s="11">
        <f t="shared" si="65"/>
        <v>4.2678678805814732E-2</v>
      </c>
      <c r="AH59" s="11">
        <f t="shared" si="66"/>
        <v>7.9450707919885302E-2</v>
      </c>
      <c r="AI59" s="11">
        <f t="shared" si="67"/>
        <v>4.7143812892221214E-2</v>
      </c>
      <c r="AJ59" s="12">
        <f>AD59*(1.05)^26</f>
        <v>0.12941683122436509</v>
      </c>
      <c r="AK59" s="3"/>
      <c r="AL59" s="6" t="s">
        <v>54</v>
      </c>
      <c r="AM59" s="11">
        <f>AM46*($C$18/$C$19)/$D$19</f>
        <v>6.6690264026402657E-2</v>
      </c>
      <c r="AN59" s="11">
        <f>AM59*(1.01)^6</f>
        <v>7.0793059112927409E-2</v>
      </c>
      <c r="AO59" s="11">
        <f t="shared" si="40"/>
        <v>8.9371332093912459E-2</v>
      </c>
      <c r="AP59" s="11">
        <f t="shared" si="41"/>
        <v>7.819957942168293E-2</v>
      </c>
      <c r="AQ59" s="11">
        <f t="shared" si="42"/>
        <v>0.14557648263571635</v>
      </c>
      <c r="AR59" s="11">
        <f t="shared" si="43"/>
        <v>8.6380985627041704E-2</v>
      </c>
      <c r="AS59" s="12">
        <f t="shared" si="44"/>
        <v>0.23712875035047787</v>
      </c>
      <c r="AU59" s="6" t="s">
        <v>54</v>
      </c>
      <c r="AV59" s="11">
        <f>AV46*($C$18/$C$19)/$D$19</f>
        <v>1.9962616261626168E-2</v>
      </c>
      <c r="AW59" s="11">
        <f>AV59*(1.01)^6</f>
        <v>2.1190719420431384E-2</v>
      </c>
      <c r="AX59" s="11">
        <f t="shared" si="71"/>
        <v>2.6751815027674961E-2</v>
      </c>
      <c r="AY59" s="11">
        <f t="shared" si="72"/>
        <v>2.3407737525189404E-2</v>
      </c>
      <c r="AZ59" s="11">
        <f t="shared" si="73"/>
        <v>4.3575887755123763E-2</v>
      </c>
      <c r="BA59" s="11">
        <f t="shared" si="74"/>
        <v>2.5856704776142336E-2</v>
      </c>
      <c r="BB59" s="12">
        <f>AV59*(1.05)^26</f>
        <v>7.0980529421378016E-2</v>
      </c>
      <c r="BD59" s="6" t="s">
        <v>54</v>
      </c>
      <c r="BE59" s="11">
        <f>BE46*($C$18/$C$19)/$D$19</f>
        <v>2.7897382238223821E-2</v>
      </c>
      <c r="BF59" s="11">
        <f>BE59*(1.01)^6</f>
        <v>2.9613633394893018E-2</v>
      </c>
      <c r="BG59" s="11">
        <f t="shared" si="77"/>
        <v>3.7385160322293047E-2</v>
      </c>
      <c r="BH59" s="11">
        <f t="shared" si="78"/>
        <v>3.2711874661814952E-2</v>
      </c>
      <c r="BI59" s="11">
        <f t="shared" si="79"/>
        <v>6.0896486770196358E-2</v>
      </c>
      <c r="BJ59" s="11">
        <f t="shared" si="80"/>
        <v>3.613426051511897E-2</v>
      </c>
      <c r="BK59" s="12">
        <f>BE59*(1.05)^26</f>
        <v>9.9193960089596411E-2</v>
      </c>
      <c r="BM59" s="6" t="s">
        <v>54</v>
      </c>
      <c r="BN59" s="11">
        <f>BN46*($C$18/$C$19)/$D$19</f>
        <v>4.7859998499849989E-2</v>
      </c>
      <c r="BO59" s="11">
        <f>BN59*(1.01)^6</f>
        <v>5.0804352815324402E-2</v>
      </c>
      <c r="BP59" s="11">
        <f t="shared" si="83"/>
        <v>6.4136975349968012E-2</v>
      </c>
      <c r="BQ59" s="11">
        <f t="shared" si="84"/>
        <v>5.6119612187004356E-2</v>
      </c>
      <c r="BR59" s="11">
        <f t="shared" si="85"/>
        <v>0.10447237452532011</v>
      </c>
      <c r="BS59" s="11">
        <f t="shared" si="86"/>
        <v>6.1990965291261302E-2</v>
      </c>
      <c r="BT59" s="12">
        <f>BN59*(1.05)^26</f>
        <v>0.17017448951097441</v>
      </c>
    </row>
    <row r="60" spans="2:72" ht="15.75" thickBot="1" x14ac:dyDescent="0.3">
      <c r="L60" s="3"/>
      <c r="M60" s="3"/>
      <c r="N60" s="3"/>
      <c r="O60" s="3"/>
      <c r="P60" s="3"/>
      <c r="Q60" s="3"/>
      <c r="R60" s="3"/>
      <c r="U60" s="3"/>
      <c r="V60" s="3"/>
      <c r="W60" s="3"/>
      <c r="X60" s="3"/>
      <c r="Y60" s="3"/>
      <c r="Z60" s="3"/>
      <c r="AA60" s="3"/>
      <c r="AD60" s="3"/>
      <c r="AE60" s="3"/>
      <c r="AF60" s="3"/>
      <c r="AG60" s="3"/>
      <c r="AH60" s="3"/>
      <c r="AI60" s="3"/>
      <c r="AJ60" s="3"/>
      <c r="AK60" s="3"/>
      <c r="AM60" s="3"/>
      <c r="AN60" s="3"/>
      <c r="AO60" s="3"/>
      <c r="AP60" s="3"/>
      <c r="AQ60" s="3"/>
      <c r="AR60" s="3"/>
      <c r="AS60" s="3"/>
      <c r="AV60" s="3"/>
      <c r="AW60" s="3"/>
      <c r="AX60" s="3"/>
      <c r="AY60" s="3"/>
      <c r="AZ60" s="3"/>
      <c r="BA60" s="3"/>
      <c r="BB60" s="3"/>
      <c r="BE60" s="3"/>
      <c r="BF60" s="3"/>
      <c r="BG60" s="3"/>
      <c r="BH60" s="3"/>
      <c r="BI60" s="3"/>
      <c r="BJ60" s="3"/>
      <c r="BK60" s="3"/>
      <c r="BN60" s="3"/>
      <c r="BO60" s="3"/>
      <c r="BP60" s="3"/>
      <c r="BQ60" s="3"/>
      <c r="BR60" s="3"/>
      <c r="BS60" s="3"/>
      <c r="BT60" s="3"/>
    </row>
    <row r="61" spans="2:72" ht="15.75" thickBot="1" x14ac:dyDescent="0.3">
      <c r="B61" s="34" t="s">
        <v>58</v>
      </c>
      <c r="C61" s="35"/>
      <c r="D61" s="35"/>
      <c r="E61" s="35"/>
      <c r="F61" s="35"/>
      <c r="G61" s="35"/>
      <c r="H61" s="35"/>
      <c r="I61" s="36"/>
      <c r="K61" s="49" t="s">
        <v>58</v>
      </c>
      <c r="L61" s="50"/>
      <c r="M61" s="50"/>
      <c r="N61" s="50"/>
      <c r="O61" s="50"/>
      <c r="P61" s="50"/>
      <c r="Q61" s="50"/>
      <c r="R61" s="51"/>
      <c r="T61" s="52" t="s">
        <v>58</v>
      </c>
      <c r="U61" s="53"/>
      <c r="V61" s="53"/>
      <c r="W61" s="53"/>
      <c r="X61" s="53"/>
      <c r="Y61" s="53"/>
      <c r="Z61" s="53"/>
      <c r="AA61" s="54"/>
      <c r="AC61" s="52" t="s">
        <v>58</v>
      </c>
      <c r="AD61" s="53"/>
      <c r="AE61" s="53"/>
      <c r="AF61" s="53"/>
      <c r="AG61" s="53"/>
      <c r="AH61" s="53"/>
      <c r="AI61" s="53"/>
      <c r="AJ61" s="54"/>
      <c r="AK61" s="3"/>
      <c r="AL61" s="52" t="s">
        <v>58</v>
      </c>
      <c r="AM61" s="53"/>
      <c r="AN61" s="53"/>
      <c r="AO61" s="53"/>
      <c r="AP61" s="53"/>
      <c r="AQ61" s="53"/>
      <c r="AR61" s="53"/>
      <c r="AS61" s="54"/>
      <c r="AU61" s="45" t="s">
        <v>58</v>
      </c>
      <c r="AV61" s="46"/>
      <c r="AW61" s="46"/>
      <c r="AX61" s="46"/>
      <c r="AY61" s="46"/>
      <c r="AZ61" s="46"/>
      <c r="BA61" s="46"/>
      <c r="BB61" s="47"/>
      <c r="BD61" s="45" t="s">
        <v>58</v>
      </c>
      <c r="BE61" s="46"/>
      <c r="BF61" s="46"/>
      <c r="BG61" s="46"/>
      <c r="BH61" s="46"/>
      <c r="BI61" s="46"/>
      <c r="BJ61" s="46"/>
      <c r="BK61" s="47"/>
      <c r="BM61" s="45" t="s">
        <v>58</v>
      </c>
      <c r="BN61" s="46"/>
      <c r="BO61" s="46"/>
      <c r="BP61" s="46"/>
      <c r="BQ61" s="46"/>
      <c r="BR61" s="46"/>
      <c r="BS61" s="46"/>
      <c r="BT61" s="47"/>
    </row>
    <row r="62" spans="2:72" x14ac:dyDescent="0.25">
      <c r="B62" s="7" t="s">
        <v>44</v>
      </c>
      <c r="C62" s="325" t="s">
        <v>57</v>
      </c>
      <c r="D62" s="325"/>
      <c r="E62" s="325"/>
      <c r="F62" s="325"/>
      <c r="G62" s="325"/>
      <c r="H62" s="325"/>
      <c r="I62" s="326"/>
      <c r="K62" s="7" t="s">
        <v>44</v>
      </c>
      <c r="L62" s="325" t="s">
        <v>57</v>
      </c>
      <c r="M62" s="325"/>
      <c r="N62" s="325"/>
      <c r="O62" s="325"/>
      <c r="P62" s="325"/>
      <c r="Q62" s="325"/>
      <c r="R62" s="326"/>
      <c r="T62" s="7" t="s">
        <v>44</v>
      </c>
      <c r="U62" s="325" t="s">
        <v>57</v>
      </c>
      <c r="V62" s="325"/>
      <c r="W62" s="325"/>
      <c r="X62" s="325"/>
      <c r="Y62" s="325"/>
      <c r="Z62" s="325"/>
      <c r="AA62" s="326"/>
      <c r="AC62" s="7" t="s">
        <v>44</v>
      </c>
      <c r="AD62" s="325" t="s">
        <v>57</v>
      </c>
      <c r="AE62" s="325"/>
      <c r="AF62" s="325"/>
      <c r="AG62" s="325"/>
      <c r="AH62" s="325"/>
      <c r="AI62" s="325"/>
      <c r="AJ62" s="326"/>
      <c r="AK62" s="3"/>
      <c r="AL62" s="7" t="s">
        <v>44</v>
      </c>
      <c r="AM62" s="325" t="s">
        <v>57</v>
      </c>
      <c r="AN62" s="325"/>
      <c r="AO62" s="325"/>
      <c r="AP62" s="325"/>
      <c r="AQ62" s="325"/>
      <c r="AR62" s="325"/>
      <c r="AS62" s="326"/>
      <c r="AU62" s="7" t="s">
        <v>44</v>
      </c>
      <c r="AV62" s="325" t="s">
        <v>57</v>
      </c>
      <c r="AW62" s="325"/>
      <c r="AX62" s="325"/>
      <c r="AY62" s="325"/>
      <c r="AZ62" s="325"/>
      <c r="BA62" s="325"/>
      <c r="BB62" s="326"/>
      <c r="BD62" s="7" t="s">
        <v>44</v>
      </c>
      <c r="BE62" s="325" t="s">
        <v>57</v>
      </c>
      <c r="BF62" s="325"/>
      <c r="BG62" s="325"/>
      <c r="BH62" s="325"/>
      <c r="BI62" s="325"/>
      <c r="BJ62" s="325"/>
      <c r="BK62" s="326"/>
      <c r="BM62" s="7" t="s">
        <v>44</v>
      </c>
      <c r="BN62" s="325" t="s">
        <v>57</v>
      </c>
      <c r="BO62" s="325"/>
      <c r="BP62" s="325"/>
      <c r="BQ62" s="325"/>
      <c r="BR62" s="325"/>
      <c r="BS62" s="325"/>
      <c r="BT62" s="326"/>
    </row>
    <row r="63" spans="2:72" x14ac:dyDescent="0.25">
      <c r="B63" s="5"/>
      <c r="C63" s="3" t="s">
        <v>46</v>
      </c>
      <c r="I63" s="10"/>
      <c r="K63" s="5"/>
      <c r="L63" s="3" t="s">
        <v>46</v>
      </c>
      <c r="M63" s="3"/>
      <c r="N63" s="3"/>
      <c r="O63" s="3"/>
      <c r="P63" s="3"/>
      <c r="Q63" s="3"/>
      <c r="R63" s="10"/>
      <c r="T63" s="5"/>
      <c r="U63" s="3" t="s">
        <v>46</v>
      </c>
      <c r="V63" s="3"/>
      <c r="W63" s="3"/>
      <c r="X63" s="3"/>
      <c r="Y63" s="3"/>
      <c r="Z63" s="3"/>
      <c r="AA63" s="10"/>
      <c r="AC63" s="5"/>
      <c r="AD63" s="3" t="s">
        <v>46</v>
      </c>
      <c r="AE63" s="3"/>
      <c r="AF63" s="3"/>
      <c r="AG63" s="3"/>
      <c r="AH63" s="3"/>
      <c r="AI63" s="3"/>
      <c r="AJ63" s="10"/>
      <c r="AK63" s="3"/>
      <c r="AL63" s="5"/>
      <c r="AM63" s="3" t="s">
        <v>46</v>
      </c>
      <c r="AN63" s="3"/>
      <c r="AO63" s="3"/>
      <c r="AP63" s="3"/>
      <c r="AQ63" s="3"/>
      <c r="AR63" s="3"/>
      <c r="AS63" s="10"/>
      <c r="AU63" s="5"/>
      <c r="AV63" s="3" t="s">
        <v>46</v>
      </c>
      <c r="AW63" s="3"/>
      <c r="AX63" s="3"/>
      <c r="AY63" s="3"/>
      <c r="AZ63" s="3"/>
      <c r="BA63" s="3"/>
      <c r="BB63" s="10"/>
      <c r="BD63" s="5"/>
      <c r="BE63" s="3" t="s">
        <v>46</v>
      </c>
      <c r="BF63" s="3"/>
      <c r="BG63" s="3"/>
      <c r="BH63" s="3"/>
      <c r="BI63" s="3"/>
      <c r="BJ63" s="3"/>
      <c r="BK63" s="10"/>
      <c r="BM63" s="5"/>
      <c r="BN63" s="3" t="s">
        <v>46</v>
      </c>
      <c r="BO63" s="3"/>
      <c r="BP63" s="3"/>
      <c r="BQ63" s="3"/>
      <c r="BR63" s="3"/>
      <c r="BS63" s="3"/>
      <c r="BT63" s="10"/>
    </row>
    <row r="64" spans="2:72" ht="15.75" thickBot="1" x14ac:dyDescent="0.3">
      <c r="B64" s="6"/>
      <c r="C64" s="11"/>
      <c r="D64" s="11" t="s">
        <v>47</v>
      </c>
      <c r="E64" s="11" t="s">
        <v>48</v>
      </c>
      <c r="F64" s="11" t="s">
        <v>47</v>
      </c>
      <c r="G64" s="11" t="s">
        <v>48</v>
      </c>
      <c r="H64" s="11" t="s">
        <v>47</v>
      </c>
      <c r="I64" s="12" t="s">
        <v>48</v>
      </c>
      <c r="K64" s="6"/>
      <c r="L64" s="11"/>
      <c r="M64" s="11" t="s">
        <v>47</v>
      </c>
      <c r="N64" s="11" t="s">
        <v>48</v>
      </c>
      <c r="O64" s="11" t="s">
        <v>47</v>
      </c>
      <c r="P64" s="11" t="s">
        <v>48</v>
      </c>
      <c r="Q64" s="11" t="s">
        <v>47</v>
      </c>
      <c r="R64" s="12" t="s">
        <v>48</v>
      </c>
      <c r="T64" s="6"/>
      <c r="U64" s="11"/>
      <c r="V64" s="11" t="s">
        <v>47</v>
      </c>
      <c r="W64" s="11" t="s">
        <v>48</v>
      </c>
      <c r="X64" s="11" t="s">
        <v>47</v>
      </c>
      <c r="Y64" s="11" t="s">
        <v>48</v>
      </c>
      <c r="Z64" s="11" t="s">
        <v>47</v>
      </c>
      <c r="AA64" s="12" t="s">
        <v>48</v>
      </c>
      <c r="AC64" s="6"/>
      <c r="AD64" s="11"/>
      <c r="AE64" s="11" t="s">
        <v>47</v>
      </c>
      <c r="AF64" s="11" t="s">
        <v>48</v>
      </c>
      <c r="AG64" s="11" t="s">
        <v>47</v>
      </c>
      <c r="AH64" s="11" t="s">
        <v>48</v>
      </c>
      <c r="AI64" s="11" t="s">
        <v>47</v>
      </c>
      <c r="AJ64" s="12" t="s">
        <v>48</v>
      </c>
      <c r="AK64" s="3"/>
      <c r="AL64" s="6"/>
      <c r="AM64" s="11"/>
      <c r="AN64" s="11" t="s">
        <v>47</v>
      </c>
      <c r="AO64" s="11" t="s">
        <v>48</v>
      </c>
      <c r="AP64" s="11" t="s">
        <v>47</v>
      </c>
      <c r="AQ64" s="11" t="s">
        <v>48</v>
      </c>
      <c r="AR64" s="11" t="s">
        <v>47</v>
      </c>
      <c r="AS64" s="12" t="s">
        <v>48</v>
      </c>
      <c r="AU64" s="6"/>
      <c r="AV64" s="11"/>
      <c r="AW64" s="11" t="s">
        <v>47</v>
      </c>
      <c r="AX64" s="11" t="s">
        <v>48</v>
      </c>
      <c r="AY64" s="11" t="s">
        <v>47</v>
      </c>
      <c r="AZ64" s="11" t="s">
        <v>48</v>
      </c>
      <c r="BA64" s="11" t="s">
        <v>47</v>
      </c>
      <c r="BB64" s="12" t="s">
        <v>48</v>
      </c>
      <c r="BD64" s="6"/>
      <c r="BE64" s="11"/>
      <c r="BF64" s="11" t="s">
        <v>47</v>
      </c>
      <c r="BG64" s="11" t="s">
        <v>48</v>
      </c>
      <c r="BH64" s="11" t="s">
        <v>47</v>
      </c>
      <c r="BI64" s="11" t="s">
        <v>48</v>
      </c>
      <c r="BJ64" s="11" t="s">
        <v>47</v>
      </c>
      <c r="BK64" s="12" t="s">
        <v>48</v>
      </c>
      <c r="BM64" s="6"/>
      <c r="BN64" s="11"/>
      <c r="BO64" s="11" t="s">
        <v>47</v>
      </c>
      <c r="BP64" s="11" t="s">
        <v>48</v>
      </c>
      <c r="BQ64" s="11" t="s">
        <v>47</v>
      </c>
      <c r="BR64" s="11" t="s">
        <v>48</v>
      </c>
      <c r="BS64" s="11" t="s">
        <v>47</v>
      </c>
      <c r="BT64" s="12" t="s">
        <v>48</v>
      </c>
    </row>
    <row r="65" spans="2:72" x14ac:dyDescent="0.25">
      <c r="B65" s="5" t="s">
        <v>49</v>
      </c>
      <c r="C65" s="3">
        <f>C70*0.05</f>
        <v>0.23862211579395495</v>
      </c>
      <c r="D65" s="3">
        <f>C65*(1.01)^6</f>
        <v>0.25330218429432838</v>
      </c>
      <c r="E65" s="3">
        <f>C65*(1.05)^6</f>
        <v>0.31977645713219299</v>
      </c>
      <c r="F65" s="3">
        <f>C65*(1.01)^16</f>
        <v>0.27980319718650165</v>
      </c>
      <c r="G65" s="3">
        <f>C65*(1.05)^16</f>
        <v>0.52088215279255612</v>
      </c>
      <c r="H65" s="3">
        <f>C65*(1.01)^26</f>
        <v>0.30907680237300389</v>
      </c>
      <c r="I65" s="10">
        <f>C65*(1.05)^26</f>
        <v>0.84846213986806096</v>
      </c>
      <c r="K65" s="5" t="s">
        <v>49</v>
      </c>
      <c r="L65" s="3">
        <f>L70*0.05</f>
        <v>0.12693474882928907</v>
      </c>
      <c r="M65" s="3">
        <f>L65*(1.01)^6</f>
        <v>0.13474379369376704</v>
      </c>
      <c r="N65" s="3">
        <f>L65*(1.05)^6</f>
        <v>0.1701047035499596</v>
      </c>
      <c r="O65" s="3">
        <f>L65*(1.01)^16</f>
        <v>0.14884097577597782</v>
      </c>
      <c r="P65" s="3">
        <f>L65*(1.05)^16</f>
        <v>0.27708263760209884</v>
      </c>
      <c r="Q65" s="3">
        <f>L65*(1.01)^26</f>
        <v>0.16441303500993829</v>
      </c>
      <c r="R65" s="10">
        <f>L65*(1.05)^26</f>
        <v>0.45133841956337983</v>
      </c>
      <c r="T65" s="5" t="s">
        <v>49</v>
      </c>
      <c r="U65" s="3">
        <f>U70*0.05</f>
        <v>1.0745689655172416E-2</v>
      </c>
      <c r="V65" s="3">
        <f>U65*(1.01)^6</f>
        <v>1.1406766101070233E-2</v>
      </c>
      <c r="W65" s="3">
        <f>U65*(1.05)^6</f>
        <v>1.4400251862405714E-2</v>
      </c>
      <c r="X65" s="3">
        <f>U65*(1.01)^16</f>
        <v>1.2600166214632679E-2</v>
      </c>
      <c r="Y65" s="3">
        <f>U65*(1.05)^16</f>
        <v>2.3456492882914515E-2</v>
      </c>
      <c r="Z65" s="3">
        <f>U65*(1.01)^26</f>
        <v>1.3918422384542004E-2</v>
      </c>
      <c r="AA65" s="10">
        <f>U65*(1.05)^26</f>
        <v>3.8208155220022758E-2</v>
      </c>
      <c r="AC65" s="5" t="s">
        <v>49</v>
      </c>
      <c r="AD65" s="3">
        <f>AD70*0.05</f>
        <v>1.2911041932737339E-2</v>
      </c>
      <c r="AE65" s="3">
        <f>AD65*(1.01)^6</f>
        <v>1.3705331176855167E-2</v>
      </c>
      <c r="AF65" s="3">
        <f>AD65*(1.05)^6</f>
        <v>1.7302031009987881E-2</v>
      </c>
      <c r="AG65" s="3">
        <f>AD65*(1.01)^16</f>
        <v>1.5139212054042202E-2</v>
      </c>
      <c r="AH65" s="3">
        <f>AD65*(1.05)^16</f>
        <v>2.8183185344505934E-2</v>
      </c>
      <c r="AI65" s="3">
        <f>AD65*(1.01)^26</f>
        <v>1.6723108596187027E-2</v>
      </c>
      <c r="AJ65" s="10">
        <f>AD65*(1.05)^26</f>
        <v>4.5907439173138456E-2</v>
      </c>
      <c r="AK65" s="3"/>
      <c r="AL65" s="5" t="s">
        <v>49</v>
      </c>
      <c r="AM65" s="3">
        <f>AM70*0.05</f>
        <v>2.3656731587909752E-2</v>
      </c>
      <c r="AN65" s="3">
        <f>AM65*(1.01)^6</f>
        <v>2.5112097277925398E-2</v>
      </c>
      <c r="AO65" s="3">
        <f t="shared" ref="AO65:AO70" si="88">AM65*(1.05)^6</f>
        <v>3.1702282872393593E-2</v>
      </c>
      <c r="AP65" s="3">
        <f t="shared" ref="AP65:AP70" si="89">AM65*(1.01)^16</f>
        <v>2.773937826867488E-2</v>
      </c>
      <c r="AQ65" s="3">
        <f t="shared" ref="AQ65:AQ70" si="90">AM65*(1.05)^16</f>
        <v>5.1639678227420445E-2</v>
      </c>
      <c r="AR65" s="3">
        <f t="shared" ref="AR65:AR70" si="91">AM65*(1.01)^26</f>
        <v>3.0641530980729029E-2</v>
      </c>
      <c r="AS65" s="10">
        <f t="shared" ref="AS65:AS70" si="92">AM65*(1.05)^26</f>
        <v>8.41155943931612E-2</v>
      </c>
      <c r="AU65" s="5" t="s">
        <v>49</v>
      </c>
      <c r="AV65" s="3">
        <f>AV70*0.05</f>
        <v>7.0812473392933189E-3</v>
      </c>
      <c r="AW65" s="3">
        <f>AV65*(1.01)^6</f>
        <v>7.516886742049575E-3</v>
      </c>
      <c r="AX65" s="3">
        <f>AV65*(1.05)^6</f>
        <v>9.4895486895743564E-3</v>
      </c>
      <c r="AY65" s="3">
        <f>AV65*(1.01)^16</f>
        <v>8.3033194094781076E-3</v>
      </c>
      <c r="AZ65" s="3">
        <f>AV65*(1.05)^16</f>
        <v>1.5457474870990584E-2</v>
      </c>
      <c r="BA65" s="3">
        <f>AV65*(1.01)^26</f>
        <v>9.1720303340658161E-3</v>
      </c>
      <c r="BB65" s="10">
        <f>AV65*(1.05)^26</f>
        <v>2.5178597760903889E-2</v>
      </c>
      <c r="BD65" s="5" t="s">
        <v>49</v>
      </c>
      <c r="BE65" s="3">
        <f>BE70*0.05</f>
        <v>9.8959104938271605E-3</v>
      </c>
      <c r="BF65" s="3">
        <f>BE65*(1.01)^6</f>
        <v>1.0504708397741425E-2</v>
      </c>
      <c r="BG65" s="3">
        <f>BE65*(1.05)^6</f>
        <v>1.3261466512792969E-2</v>
      </c>
      <c r="BH65" s="3">
        <f>BE65*(1.01)^16</f>
        <v>1.1603733317138062E-2</v>
      </c>
      <c r="BI65" s="3">
        <f>BE65*(1.05)^16</f>
        <v>2.1601531545877444E-2</v>
      </c>
      <c r="BJ65" s="3">
        <f>BE65*(1.01)^26</f>
        <v>1.2817740559481856E-2</v>
      </c>
      <c r="BK65" s="10">
        <f>BE65*(1.05)^26</f>
        <v>3.5186618665243169E-2</v>
      </c>
      <c r="BM65" s="5" t="s">
        <v>49</v>
      </c>
      <c r="BN65" s="3">
        <f>BN70*0.05</f>
        <v>1.6977157833120479E-2</v>
      </c>
      <c r="BO65" s="3">
        <f>BN65*(1.01)^6</f>
        <v>1.8021595139791E-2</v>
      </c>
      <c r="BP65" s="3">
        <f>BN65*(1.05)^6</f>
        <v>2.2751015202367324E-2</v>
      </c>
      <c r="BQ65" s="3">
        <f>BN65*(1.01)^16</f>
        <v>1.9907052726616168E-2</v>
      </c>
      <c r="BR65" s="3">
        <f>BN65*(1.05)^16</f>
        <v>3.7059006416868025E-2</v>
      </c>
      <c r="BS65" s="3">
        <f>BN65*(1.01)^26</f>
        <v>2.1989770893547672E-2</v>
      </c>
      <c r="BT65" s="10">
        <f>BN65*(1.05)^26</f>
        <v>6.0365216426147054E-2</v>
      </c>
    </row>
    <row r="66" spans="2:72" x14ac:dyDescent="0.25">
      <c r="B66" s="5" t="s">
        <v>50</v>
      </c>
      <c r="C66" s="3">
        <f>C70*0.1</f>
        <v>0.47724423158790991</v>
      </c>
      <c r="D66" s="3">
        <f t="shared" ref="D66:D69" si="93">C66*(1.01)^6</f>
        <v>0.50660436858865676</v>
      </c>
      <c r="E66" s="3">
        <f t="shared" ref="E66:E70" si="94">C66*(1.05)^6</f>
        <v>0.63955291426438599</v>
      </c>
      <c r="F66" s="3">
        <f t="shared" ref="F66:F70" si="95">C66*(1.01)^16</f>
        <v>0.5596063943730033</v>
      </c>
      <c r="G66" s="3">
        <f t="shared" ref="G66:G70" si="96">C66*(1.05)^16</f>
        <v>1.0417643055851122</v>
      </c>
      <c r="H66" s="3">
        <f t="shared" ref="H66:H70" si="97">C66*(1.01)^26</f>
        <v>0.61815360474600778</v>
      </c>
      <c r="I66" s="10">
        <f t="shared" ref="I66:I69" si="98">C66*(1.05)^26</f>
        <v>1.6969242797361219</v>
      </c>
      <c r="K66" s="5" t="s">
        <v>50</v>
      </c>
      <c r="L66" s="3">
        <f>L70*0.1</f>
        <v>0.25386949765857814</v>
      </c>
      <c r="M66" s="3">
        <f t="shared" ref="M66:M69" si="99">L66*(1.01)^6</f>
        <v>0.26948758738753409</v>
      </c>
      <c r="N66" s="3">
        <f t="shared" ref="N66:N70" si="100">L66*(1.05)^6</f>
        <v>0.3402094070999192</v>
      </c>
      <c r="O66" s="3">
        <f t="shared" ref="O66:O70" si="101">L66*(1.01)^16</f>
        <v>0.29768195155195565</v>
      </c>
      <c r="P66" s="3">
        <f t="shared" ref="P66:P70" si="102">L66*(1.05)^16</f>
        <v>0.55416527520419767</v>
      </c>
      <c r="Q66" s="3">
        <f t="shared" ref="Q66:Q70" si="103">L66*(1.01)^26</f>
        <v>0.32882607001987657</v>
      </c>
      <c r="R66" s="10">
        <f t="shared" ref="R66:R69" si="104">L66*(1.05)^26</f>
        <v>0.90267683912675967</v>
      </c>
      <c r="T66" s="5" t="s">
        <v>50</v>
      </c>
      <c r="U66" s="3">
        <f>U70*0.1</f>
        <v>2.1491379310344831E-2</v>
      </c>
      <c r="V66" s="3">
        <f t="shared" ref="V66:V69" si="105">U66*(1.01)^6</f>
        <v>2.2813532202140465E-2</v>
      </c>
      <c r="W66" s="3">
        <f t="shared" ref="W66:W70" si="106">U66*(1.05)^6</f>
        <v>2.8800503724811428E-2</v>
      </c>
      <c r="X66" s="3">
        <f t="shared" ref="X66:X70" si="107">U66*(1.01)^16</f>
        <v>2.5200332429265358E-2</v>
      </c>
      <c r="Y66" s="3">
        <f t="shared" ref="Y66:Y70" si="108">U66*(1.05)^16</f>
        <v>4.6912985765829029E-2</v>
      </c>
      <c r="Z66" s="3">
        <f t="shared" ref="Z66:Z70" si="109">U66*(1.01)^26</f>
        <v>2.7836844769084008E-2</v>
      </c>
      <c r="AA66" s="10">
        <f t="shared" ref="AA66:AA69" si="110">U66*(1.05)^26</f>
        <v>7.6416310440045515E-2</v>
      </c>
      <c r="AC66" s="5" t="s">
        <v>50</v>
      </c>
      <c r="AD66" s="3">
        <f>AD70*0.1</f>
        <v>2.5822083865474677E-2</v>
      </c>
      <c r="AE66" s="3">
        <f t="shared" ref="AE66:AE69" si="111">AD66*(1.01)^6</f>
        <v>2.7410662353710334E-2</v>
      </c>
      <c r="AF66" s="3">
        <f t="shared" ref="AF66:AF70" si="112">AD66*(1.05)^6</f>
        <v>3.4604062019975762E-2</v>
      </c>
      <c r="AG66" s="3">
        <f t="shared" ref="AG66:AG70" si="113">AD66*(1.01)^16</f>
        <v>3.0278424108084404E-2</v>
      </c>
      <c r="AH66" s="3">
        <f t="shared" ref="AH66:AH70" si="114">AD66*(1.05)^16</f>
        <v>5.6366370689011867E-2</v>
      </c>
      <c r="AI66" s="3">
        <f t="shared" ref="AI66:AI70" si="115">AD66*(1.01)^26</f>
        <v>3.3446217192374054E-2</v>
      </c>
      <c r="AJ66" s="10">
        <f t="shared" ref="AJ66:AJ69" si="116">AD66*(1.05)^26</f>
        <v>9.1814878346276912E-2</v>
      </c>
      <c r="AK66" s="3"/>
      <c r="AL66" s="5" t="s">
        <v>50</v>
      </c>
      <c r="AM66" s="3">
        <f>AM70*0.1</f>
        <v>4.7313463175819505E-2</v>
      </c>
      <c r="AN66" s="3">
        <f t="shared" ref="AN66:AN69" si="117">AM66*(1.01)^6</f>
        <v>5.0224194555850796E-2</v>
      </c>
      <c r="AO66" s="3">
        <f t="shared" si="88"/>
        <v>6.3404565744787186E-2</v>
      </c>
      <c r="AP66" s="3">
        <f t="shared" si="89"/>
        <v>5.5478756537349759E-2</v>
      </c>
      <c r="AQ66" s="3">
        <f t="shared" si="90"/>
        <v>0.10327935645484089</v>
      </c>
      <c r="AR66" s="3">
        <f t="shared" si="91"/>
        <v>6.1283061961458059E-2</v>
      </c>
      <c r="AS66" s="10">
        <f t="shared" si="92"/>
        <v>0.1682311887863224</v>
      </c>
      <c r="AU66" s="5" t="s">
        <v>50</v>
      </c>
      <c r="AV66" s="3">
        <f>AV70*0.1</f>
        <v>1.4162494678586638E-2</v>
      </c>
      <c r="AW66" s="3">
        <f t="shared" ref="AW66:AW69" si="118">AV66*(1.01)^6</f>
        <v>1.503377348409915E-2</v>
      </c>
      <c r="AX66" s="3">
        <f t="shared" ref="AX66:AX70" si="119">AV66*(1.05)^6</f>
        <v>1.8979097379148713E-2</v>
      </c>
      <c r="AY66" s="3">
        <f t="shared" ref="AY66:AY70" si="120">AV66*(1.01)^16</f>
        <v>1.6606638818956215E-2</v>
      </c>
      <c r="AZ66" s="3">
        <f t="shared" ref="AZ66:AZ70" si="121">AV66*(1.05)^16</f>
        <v>3.0914949741981168E-2</v>
      </c>
      <c r="BA66" s="3">
        <f t="shared" ref="BA66:BA70" si="122">AV66*(1.01)^26</f>
        <v>1.8344060668131632E-2</v>
      </c>
      <c r="BB66" s="10">
        <f t="shared" ref="BB66:BB69" si="123">AV66*(1.05)^26</f>
        <v>5.0357195521807778E-2</v>
      </c>
      <c r="BD66" s="5" t="s">
        <v>50</v>
      </c>
      <c r="BE66" s="3">
        <f>BE70*0.1</f>
        <v>1.9791820987654321E-2</v>
      </c>
      <c r="BF66" s="3">
        <f t="shared" ref="BF66:BF69" si="124">BE66*(1.01)^6</f>
        <v>2.1009416795482849E-2</v>
      </c>
      <c r="BG66" s="3">
        <f t="shared" ref="BG66:BG70" si="125">BE66*(1.05)^6</f>
        <v>2.6522933025585938E-2</v>
      </c>
      <c r="BH66" s="3">
        <f t="shared" ref="BH66:BH70" si="126">BE66*(1.01)^16</f>
        <v>2.3207466634276124E-2</v>
      </c>
      <c r="BI66" s="3">
        <f t="shared" ref="BI66:BI70" si="127">BE66*(1.05)^16</f>
        <v>4.3203063091754888E-2</v>
      </c>
      <c r="BJ66" s="3">
        <f t="shared" ref="BJ66:BJ70" si="128">BE66*(1.01)^26</f>
        <v>2.5635481118963712E-2</v>
      </c>
      <c r="BK66" s="10">
        <f t="shared" ref="BK66:BK69" si="129">BE66*(1.05)^26</f>
        <v>7.0373237330486338E-2</v>
      </c>
      <c r="BM66" s="5" t="s">
        <v>50</v>
      </c>
      <c r="BN66" s="3">
        <f>BN70*0.1</f>
        <v>3.3954315666240957E-2</v>
      </c>
      <c r="BO66" s="3">
        <f t="shared" ref="BO66:BO69" si="130">BN66*(1.01)^6</f>
        <v>3.6043190279581999E-2</v>
      </c>
      <c r="BP66" s="3">
        <f t="shared" ref="BP66:BP70" si="131">BN66*(1.05)^6</f>
        <v>4.5502030404734647E-2</v>
      </c>
      <c r="BQ66" s="3">
        <f t="shared" ref="BQ66:BQ70" si="132">BN66*(1.01)^16</f>
        <v>3.9814105453232336E-2</v>
      </c>
      <c r="BR66" s="3">
        <f t="shared" ref="BR66:BR70" si="133">BN66*(1.05)^16</f>
        <v>7.4118012833736049E-2</v>
      </c>
      <c r="BS66" s="3">
        <f t="shared" ref="BS66:BS70" si="134">BN66*(1.01)^26</f>
        <v>4.3979541787095344E-2</v>
      </c>
      <c r="BT66" s="10">
        <f t="shared" ref="BT66:BT69" si="135">BN66*(1.05)^26</f>
        <v>0.12073043285229411</v>
      </c>
    </row>
    <row r="67" spans="2:72" x14ac:dyDescent="0.25">
      <c r="B67" s="5" t="s">
        <v>51</v>
      </c>
      <c r="C67" s="3">
        <f>C70*0.25</f>
        <v>1.1931105789697747</v>
      </c>
      <c r="D67" s="3">
        <f t="shared" si="93"/>
        <v>1.2665109214716417</v>
      </c>
      <c r="E67" s="3">
        <f t="shared" si="94"/>
        <v>1.5988822856609648</v>
      </c>
      <c r="F67" s="3">
        <f t="shared" si="95"/>
        <v>1.3990159859325082</v>
      </c>
      <c r="G67" s="3">
        <f t="shared" si="96"/>
        <v>2.6044107639627803</v>
      </c>
      <c r="H67" s="3">
        <f t="shared" si="97"/>
        <v>1.5453840118650193</v>
      </c>
      <c r="I67" s="10">
        <f t="shared" si="98"/>
        <v>4.2423106993403046</v>
      </c>
      <c r="K67" s="5" t="s">
        <v>51</v>
      </c>
      <c r="L67" s="3">
        <f>L70*0.25</f>
        <v>0.63467374414644528</v>
      </c>
      <c r="M67" s="3">
        <f t="shared" si="99"/>
        <v>0.67371896846883528</v>
      </c>
      <c r="N67" s="3">
        <f t="shared" si="100"/>
        <v>0.85052351774979795</v>
      </c>
      <c r="O67" s="3">
        <f t="shared" si="101"/>
        <v>0.74420487887988906</v>
      </c>
      <c r="P67" s="3">
        <f t="shared" si="102"/>
        <v>1.3854131880104938</v>
      </c>
      <c r="Q67" s="3">
        <f t="shared" si="103"/>
        <v>0.82206517504969134</v>
      </c>
      <c r="R67" s="10">
        <f t="shared" si="104"/>
        <v>2.2566920978168992</v>
      </c>
      <c r="T67" s="5" t="s">
        <v>51</v>
      </c>
      <c r="U67" s="3">
        <f>U70*0.25</f>
        <v>5.3728448275862074E-2</v>
      </c>
      <c r="V67" s="3">
        <f t="shared" si="105"/>
        <v>5.7033830505351157E-2</v>
      </c>
      <c r="W67" s="3">
        <f t="shared" si="106"/>
        <v>7.2001259312028568E-2</v>
      </c>
      <c r="X67" s="3">
        <f t="shared" si="107"/>
        <v>6.3000831073163385E-2</v>
      </c>
      <c r="Y67" s="3">
        <f t="shared" si="108"/>
        <v>0.11728246441457257</v>
      </c>
      <c r="Z67" s="3">
        <f t="shared" si="109"/>
        <v>6.9592111922710018E-2</v>
      </c>
      <c r="AA67" s="10">
        <f t="shared" si="110"/>
        <v>0.19104077610011375</v>
      </c>
      <c r="AC67" s="5" t="s">
        <v>51</v>
      </c>
      <c r="AD67" s="3">
        <f>AD70*0.25</f>
        <v>6.4555209663686691E-2</v>
      </c>
      <c r="AE67" s="3">
        <f t="shared" si="111"/>
        <v>6.8526655884275839E-2</v>
      </c>
      <c r="AF67" s="3">
        <f t="shared" si="112"/>
        <v>8.6510155049939405E-2</v>
      </c>
      <c r="AG67" s="3">
        <f t="shared" si="113"/>
        <v>7.5696060270211002E-2</v>
      </c>
      <c r="AH67" s="3">
        <f t="shared" si="114"/>
        <v>0.14091592672252967</v>
      </c>
      <c r="AI67" s="3">
        <f t="shared" si="115"/>
        <v>8.361554298093514E-2</v>
      </c>
      <c r="AJ67" s="10">
        <f t="shared" si="116"/>
        <v>0.22953719586569227</v>
      </c>
      <c r="AK67" s="3"/>
      <c r="AL67" s="5" t="s">
        <v>51</v>
      </c>
      <c r="AM67" s="3">
        <f>AM70*0.25</f>
        <v>0.11828365793954876</v>
      </c>
      <c r="AN67" s="3">
        <f t="shared" si="117"/>
        <v>0.125560486389627</v>
      </c>
      <c r="AO67" s="3">
        <f t="shared" si="88"/>
        <v>0.15851141436196794</v>
      </c>
      <c r="AP67" s="3">
        <f t="shared" si="89"/>
        <v>0.1386968913433744</v>
      </c>
      <c r="AQ67" s="3">
        <f t="shared" si="90"/>
        <v>0.25819839113710219</v>
      </c>
      <c r="AR67" s="3">
        <f t="shared" si="91"/>
        <v>0.15320765490364516</v>
      </c>
      <c r="AS67" s="10">
        <f t="shared" si="92"/>
        <v>0.42057797196580599</v>
      </c>
      <c r="AU67" s="5" t="s">
        <v>51</v>
      </c>
      <c r="AV67" s="3">
        <f>AV70*0.25</f>
        <v>3.5406236696466593E-2</v>
      </c>
      <c r="AW67" s="3">
        <f t="shared" si="118"/>
        <v>3.7584433710247875E-2</v>
      </c>
      <c r="AX67" s="3">
        <f t="shared" si="119"/>
        <v>4.7447743447871782E-2</v>
      </c>
      <c r="AY67" s="3">
        <f t="shared" si="120"/>
        <v>4.1516597047390538E-2</v>
      </c>
      <c r="AZ67" s="3">
        <f t="shared" si="121"/>
        <v>7.728737435495292E-2</v>
      </c>
      <c r="BA67" s="3">
        <f t="shared" si="122"/>
        <v>4.5860151670329086E-2</v>
      </c>
      <c r="BB67" s="10">
        <f t="shared" si="123"/>
        <v>0.12589298880451943</v>
      </c>
      <c r="BD67" s="5" t="s">
        <v>51</v>
      </c>
      <c r="BE67" s="3">
        <f>BE70*0.25</f>
        <v>4.9479552469135803E-2</v>
      </c>
      <c r="BF67" s="3">
        <f t="shared" si="124"/>
        <v>5.2523541988707123E-2</v>
      </c>
      <c r="BG67" s="3">
        <f t="shared" si="125"/>
        <v>6.6307332563964844E-2</v>
      </c>
      <c r="BH67" s="3">
        <f t="shared" si="126"/>
        <v>5.8018666585690312E-2</v>
      </c>
      <c r="BI67" s="3">
        <f t="shared" si="127"/>
        <v>0.10800765772938722</v>
      </c>
      <c r="BJ67" s="3">
        <f t="shared" si="128"/>
        <v>6.4088702797409289E-2</v>
      </c>
      <c r="BK67" s="10">
        <f t="shared" si="129"/>
        <v>0.17593309332621584</v>
      </c>
      <c r="BM67" s="5" t="s">
        <v>51</v>
      </c>
      <c r="BN67" s="3">
        <f>BN70*0.25</f>
        <v>8.4885789165602396E-2</v>
      </c>
      <c r="BO67" s="3">
        <f t="shared" si="130"/>
        <v>9.0107975698954998E-2</v>
      </c>
      <c r="BP67" s="3">
        <f t="shared" si="131"/>
        <v>0.11375507601183663</v>
      </c>
      <c r="BQ67" s="3">
        <f t="shared" si="132"/>
        <v>9.953526363308085E-2</v>
      </c>
      <c r="BR67" s="3">
        <f t="shared" si="133"/>
        <v>0.18529503208434014</v>
      </c>
      <c r="BS67" s="3">
        <f t="shared" si="134"/>
        <v>0.10994885446773836</v>
      </c>
      <c r="BT67" s="10">
        <f t="shared" si="135"/>
        <v>0.30182608213073531</v>
      </c>
    </row>
    <row r="68" spans="2:72" x14ac:dyDescent="0.25">
      <c r="B68" s="5" t="s">
        <v>52</v>
      </c>
      <c r="C68" s="3">
        <f>C70*0.5</f>
        <v>2.3862211579395494</v>
      </c>
      <c r="D68" s="3">
        <f t="shared" si="93"/>
        <v>2.5330218429432834</v>
      </c>
      <c r="E68" s="3">
        <f t="shared" si="94"/>
        <v>3.1977645713219296</v>
      </c>
      <c r="F68" s="3">
        <f t="shared" si="95"/>
        <v>2.7980319718650164</v>
      </c>
      <c r="G68" s="3">
        <f t="shared" si="96"/>
        <v>5.2088215279255605</v>
      </c>
      <c r="H68" s="3">
        <f t="shared" si="97"/>
        <v>3.0907680237300386</v>
      </c>
      <c r="I68" s="10">
        <f t="shared" si="98"/>
        <v>8.4846213986806092</v>
      </c>
      <c r="K68" s="5" t="s">
        <v>52</v>
      </c>
      <c r="L68" s="3">
        <f>L70*0.5</f>
        <v>1.2693474882928906</v>
      </c>
      <c r="M68" s="3">
        <f t="shared" si="99"/>
        <v>1.3474379369376706</v>
      </c>
      <c r="N68" s="3">
        <f t="shared" si="100"/>
        <v>1.7010470354995959</v>
      </c>
      <c r="O68" s="3">
        <f t="shared" si="101"/>
        <v>1.4884097577597781</v>
      </c>
      <c r="P68" s="3">
        <f t="shared" si="102"/>
        <v>2.7708263760209877</v>
      </c>
      <c r="Q68" s="3">
        <f t="shared" si="103"/>
        <v>1.6441303500993827</v>
      </c>
      <c r="R68" s="10">
        <f t="shared" si="104"/>
        <v>4.5133841956337983</v>
      </c>
      <c r="T68" s="5" t="s">
        <v>52</v>
      </c>
      <c r="U68" s="3">
        <f>U70*0.5</f>
        <v>0.10745689655172415</v>
      </c>
      <c r="V68" s="3">
        <f t="shared" si="105"/>
        <v>0.11406766101070231</v>
      </c>
      <c r="W68" s="3">
        <f t="shared" si="106"/>
        <v>0.14400251862405714</v>
      </c>
      <c r="X68" s="3">
        <f t="shared" si="107"/>
        <v>0.12600166214632677</v>
      </c>
      <c r="Y68" s="3">
        <f t="shared" si="108"/>
        <v>0.23456492882914515</v>
      </c>
      <c r="Z68" s="3">
        <f t="shared" si="109"/>
        <v>0.13918422384542004</v>
      </c>
      <c r="AA68" s="10">
        <f t="shared" si="110"/>
        <v>0.38208155220022749</v>
      </c>
      <c r="AC68" s="5" t="s">
        <v>52</v>
      </c>
      <c r="AD68" s="3">
        <f>AD70*0.5</f>
        <v>0.12911041932737338</v>
      </c>
      <c r="AE68" s="3">
        <f t="shared" si="111"/>
        <v>0.13705331176855168</v>
      </c>
      <c r="AF68" s="3">
        <f t="shared" si="112"/>
        <v>0.17302031009987881</v>
      </c>
      <c r="AG68" s="3">
        <f t="shared" si="113"/>
        <v>0.151392120540422</v>
      </c>
      <c r="AH68" s="3">
        <f t="shared" si="114"/>
        <v>0.28183185344505934</v>
      </c>
      <c r="AI68" s="3">
        <f t="shared" si="115"/>
        <v>0.16723108596187028</v>
      </c>
      <c r="AJ68" s="10">
        <f t="shared" si="116"/>
        <v>0.45907439173138453</v>
      </c>
      <c r="AK68" s="3"/>
      <c r="AL68" s="5" t="s">
        <v>52</v>
      </c>
      <c r="AM68" s="3">
        <f>AM70*0.5</f>
        <v>0.23656731587909752</v>
      </c>
      <c r="AN68" s="3">
        <f t="shared" si="117"/>
        <v>0.25112097277925399</v>
      </c>
      <c r="AO68" s="3">
        <f t="shared" si="88"/>
        <v>0.31702282872393589</v>
      </c>
      <c r="AP68" s="3">
        <f t="shared" si="89"/>
        <v>0.2773937826867488</v>
      </c>
      <c r="AQ68" s="3">
        <f t="shared" si="90"/>
        <v>0.51639678227420438</v>
      </c>
      <c r="AR68" s="3">
        <f t="shared" si="91"/>
        <v>0.30641530980729031</v>
      </c>
      <c r="AS68" s="10">
        <f t="shared" si="92"/>
        <v>0.84115594393161197</v>
      </c>
      <c r="AU68" s="5" t="s">
        <v>52</v>
      </c>
      <c r="AV68" s="3">
        <f>AV70*0.5</f>
        <v>7.0812473392933187E-2</v>
      </c>
      <c r="AW68" s="3">
        <f t="shared" si="118"/>
        <v>7.516886742049575E-2</v>
      </c>
      <c r="AX68" s="3">
        <f t="shared" si="119"/>
        <v>9.4895486895743564E-2</v>
      </c>
      <c r="AY68" s="3">
        <f t="shared" si="120"/>
        <v>8.3033194094781076E-2</v>
      </c>
      <c r="AZ68" s="3">
        <f t="shared" si="121"/>
        <v>0.15457474870990584</v>
      </c>
      <c r="BA68" s="3">
        <f t="shared" si="122"/>
        <v>9.1720303340658171E-2</v>
      </c>
      <c r="BB68" s="10">
        <f t="shared" si="123"/>
        <v>0.25178597760903887</v>
      </c>
      <c r="BD68" s="5" t="s">
        <v>52</v>
      </c>
      <c r="BE68" s="3">
        <f>BE70*0.5</f>
        <v>9.8959104938271605E-2</v>
      </c>
      <c r="BF68" s="3">
        <f t="shared" si="124"/>
        <v>0.10504708397741425</v>
      </c>
      <c r="BG68" s="3">
        <f t="shared" si="125"/>
        <v>0.13261466512792969</v>
      </c>
      <c r="BH68" s="3">
        <f t="shared" si="126"/>
        <v>0.11603733317138062</v>
      </c>
      <c r="BI68" s="3">
        <f t="shared" si="127"/>
        <v>0.21601531545877445</v>
      </c>
      <c r="BJ68" s="3">
        <f t="shared" si="128"/>
        <v>0.12817740559481858</v>
      </c>
      <c r="BK68" s="10">
        <f t="shared" si="129"/>
        <v>0.35186618665243169</v>
      </c>
      <c r="BM68" s="5" t="s">
        <v>52</v>
      </c>
      <c r="BN68" s="3">
        <f>BN70*0.5</f>
        <v>0.16977157833120479</v>
      </c>
      <c r="BO68" s="3">
        <f t="shared" si="130"/>
        <v>0.18021595139791</v>
      </c>
      <c r="BP68" s="3">
        <f t="shared" si="131"/>
        <v>0.22751015202367325</v>
      </c>
      <c r="BQ68" s="3">
        <f t="shared" si="132"/>
        <v>0.1990705272661617</v>
      </c>
      <c r="BR68" s="3">
        <f t="shared" si="133"/>
        <v>0.37059006416868029</v>
      </c>
      <c r="BS68" s="3">
        <f t="shared" si="134"/>
        <v>0.21989770893547672</v>
      </c>
      <c r="BT68" s="10">
        <f t="shared" si="135"/>
        <v>0.60365216426147061</v>
      </c>
    </row>
    <row r="69" spans="2:72" x14ac:dyDescent="0.25">
      <c r="B69" s="5" t="s">
        <v>53</v>
      </c>
      <c r="C69" s="3">
        <f>C70*0.75</f>
        <v>3.579331736909324</v>
      </c>
      <c r="D69" s="3">
        <f t="shared" si="93"/>
        <v>3.7995327644149253</v>
      </c>
      <c r="E69" s="3">
        <f t="shared" si="94"/>
        <v>4.7966468569828944</v>
      </c>
      <c r="F69" s="3">
        <f t="shared" si="95"/>
        <v>4.1970479577975244</v>
      </c>
      <c r="G69" s="3">
        <f t="shared" si="96"/>
        <v>7.8132322918883412</v>
      </c>
      <c r="H69" s="3">
        <f t="shared" si="97"/>
        <v>4.6361520355950576</v>
      </c>
      <c r="I69" s="10">
        <f t="shared" si="98"/>
        <v>12.726932098020914</v>
      </c>
      <c r="K69" s="5" t="s">
        <v>53</v>
      </c>
      <c r="L69" s="3">
        <f>L70*0.75</f>
        <v>1.904021232439336</v>
      </c>
      <c r="M69" s="3">
        <f t="shared" si="99"/>
        <v>2.0211569054065057</v>
      </c>
      <c r="N69" s="3">
        <f t="shared" si="100"/>
        <v>2.5515705532493937</v>
      </c>
      <c r="O69" s="3">
        <f t="shared" si="101"/>
        <v>2.2326146366396675</v>
      </c>
      <c r="P69" s="3">
        <f t="shared" si="102"/>
        <v>4.1562395640314822</v>
      </c>
      <c r="Q69" s="3">
        <f t="shared" si="103"/>
        <v>2.4661955251490744</v>
      </c>
      <c r="R69" s="10">
        <f t="shared" si="104"/>
        <v>6.7700762934506979</v>
      </c>
      <c r="T69" s="5" t="s">
        <v>53</v>
      </c>
      <c r="U69" s="3">
        <f>U70*0.75</f>
        <v>0.16118534482758623</v>
      </c>
      <c r="V69" s="3">
        <f t="shared" si="105"/>
        <v>0.17110149151605347</v>
      </c>
      <c r="W69" s="3">
        <f t="shared" si="106"/>
        <v>0.21600377793608569</v>
      </c>
      <c r="X69" s="3">
        <f t="shared" si="107"/>
        <v>0.18900249321949017</v>
      </c>
      <c r="Y69" s="3">
        <f t="shared" si="108"/>
        <v>0.35184739324371772</v>
      </c>
      <c r="Z69" s="3">
        <f t="shared" si="109"/>
        <v>0.20877633576813007</v>
      </c>
      <c r="AA69" s="10">
        <f t="shared" si="110"/>
        <v>0.57312232830034127</v>
      </c>
      <c r="AC69" s="5" t="s">
        <v>53</v>
      </c>
      <c r="AD69" s="3">
        <f>AD70*0.75</f>
        <v>0.19366562899106007</v>
      </c>
      <c r="AE69" s="3">
        <f t="shared" si="111"/>
        <v>0.20557996765282752</v>
      </c>
      <c r="AF69" s="3">
        <f t="shared" si="112"/>
        <v>0.2595304651498182</v>
      </c>
      <c r="AG69" s="3">
        <f t="shared" si="113"/>
        <v>0.22708818081063301</v>
      </c>
      <c r="AH69" s="3">
        <f t="shared" si="114"/>
        <v>0.42274778016758902</v>
      </c>
      <c r="AI69" s="3">
        <f t="shared" si="115"/>
        <v>0.25084662894280541</v>
      </c>
      <c r="AJ69" s="10">
        <f t="shared" si="116"/>
        <v>0.68861158759707686</v>
      </c>
      <c r="AK69" s="3"/>
      <c r="AL69" s="5" t="s">
        <v>53</v>
      </c>
      <c r="AM69" s="3">
        <f>AM70*0.75</f>
        <v>0.35485097381864628</v>
      </c>
      <c r="AN69" s="3">
        <f t="shared" si="117"/>
        <v>0.37668145916888096</v>
      </c>
      <c r="AO69" s="3">
        <f t="shared" si="88"/>
        <v>0.47553424308590386</v>
      </c>
      <c r="AP69" s="3">
        <f t="shared" si="89"/>
        <v>0.41609067403012318</v>
      </c>
      <c r="AQ69" s="3">
        <f t="shared" si="90"/>
        <v>0.77459517341130668</v>
      </c>
      <c r="AR69" s="3">
        <f t="shared" si="91"/>
        <v>0.45962296471093544</v>
      </c>
      <c r="AS69" s="10">
        <f t="shared" si="92"/>
        <v>1.2617339158974181</v>
      </c>
      <c r="AU69" s="5" t="s">
        <v>53</v>
      </c>
      <c r="AV69" s="3">
        <f>AV70*0.75</f>
        <v>0.10621871008939979</v>
      </c>
      <c r="AW69" s="3">
        <f t="shared" si="118"/>
        <v>0.11275330113074364</v>
      </c>
      <c r="AX69" s="3">
        <f t="shared" si="119"/>
        <v>0.14234323034361535</v>
      </c>
      <c r="AY69" s="3">
        <f t="shared" si="120"/>
        <v>0.12454979114217161</v>
      </c>
      <c r="AZ69" s="3">
        <f t="shared" si="121"/>
        <v>0.23186212306485876</v>
      </c>
      <c r="BA69" s="3">
        <f t="shared" si="122"/>
        <v>0.13758045501098726</v>
      </c>
      <c r="BB69" s="10">
        <f t="shared" si="123"/>
        <v>0.37767896641355836</v>
      </c>
      <c r="BD69" s="5" t="s">
        <v>53</v>
      </c>
      <c r="BE69" s="3">
        <f>BE70*0.75</f>
        <v>0.14843865740740741</v>
      </c>
      <c r="BF69" s="3">
        <f t="shared" si="124"/>
        <v>0.1575706259661214</v>
      </c>
      <c r="BG69" s="3">
        <f t="shared" si="125"/>
        <v>0.19892199769189453</v>
      </c>
      <c r="BH69" s="3">
        <f t="shared" si="126"/>
        <v>0.17405599975707095</v>
      </c>
      <c r="BI69" s="3">
        <f t="shared" si="127"/>
        <v>0.3240229731881617</v>
      </c>
      <c r="BJ69" s="3">
        <f t="shared" si="128"/>
        <v>0.19226610839222785</v>
      </c>
      <c r="BK69" s="10">
        <f t="shared" si="129"/>
        <v>0.52779927997864762</v>
      </c>
      <c r="BM69" s="5" t="s">
        <v>53</v>
      </c>
      <c r="BN69" s="3">
        <f>BN70*0.75</f>
        <v>0.25465736749680717</v>
      </c>
      <c r="BO69" s="3">
        <f t="shared" si="130"/>
        <v>0.27032392709686498</v>
      </c>
      <c r="BP69" s="3">
        <f t="shared" si="131"/>
        <v>0.34126522803550985</v>
      </c>
      <c r="BQ69" s="3">
        <f t="shared" si="132"/>
        <v>0.29860579089924255</v>
      </c>
      <c r="BR69" s="3">
        <f t="shared" si="133"/>
        <v>0.55588509625302041</v>
      </c>
      <c r="BS69" s="3">
        <f t="shared" si="134"/>
        <v>0.32984656340321505</v>
      </c>
      <c r="BT69" s="10">
        <f t="shared" si="135"/>
        <v>0.90547824639220587</v>
      </c>
    </row>
    <row r="70" spans="2:72" ht="15.75" thickBot="1" x14ac:dyDescent="0.3">
      <c r="B70" s="6" t="s">
        <v>54</v>
      </c>
      <c r="C70" s="11">
        <f>C46*($C$18/$C$20)/$D$20</f>
        <v>4.7724423158790987</v>
      </c>
      <c r="D70" s="11">
        <f>C70*(1.01)^6</f>
        <v>5.0660436858865667</v>
      </c>
      <c r="E70" s="11">
        <f t="shared" si="94"/>
        <v>6.3955291426438592</v>
      </c>
      <c r="F70" s="11">
        <f t="shared" si="95"/>
        <v>5.5960639437300328</v>
      </c>
      <c r="G70" s="11">
        <f t="shared" si="96"/>
        <v>10.417643055851121</v>
      </c>
      <c r="H70" s="11">
        <f t="shared" si="97"/>
        <v>6.1815360474600771</v>
      </c>
      <c r="I70" s="12">
        <f>C70*(1.05)^26</f>
        <v>16.969242797361218</v>
      </c>
      <c r="K70" s="6" t="s">
        <v>54</v>
      </c>
      <c r="L70" s="11">
        <f>L46*($C$18/$C$20)/$D$20</f>
        <v>2.5386949765857811</v>
      </c>
      <c r="M70" s="11">
        <f>L70*(1.01)^6</f>
        <v>2.6948758738753411</v>
      </c>
      <c r="N70" s="11">
        <f t="shared" si="100"/>
        <v>3.4020940709991918</v>
      </c>
      <c r="O70" s="11">
        <f t="shared" si="101"/>
        <v>2.9768195155195563</v>
      </c>
      <c r="P70" s="11">
        <f t="shared" si="102"/>
        <v>5.5416527520419754</v>
      </c>
      <c r="Q70" s="11">
        <f t="shared" si="103"/>
        <v>3.2882607001987654</v>
      </c>
      <c r="R70" s="12">
        <f>L70*(1.05)^26</f>
        <v>9.0267683912675967</v>
      </c>
      <c r="T70" s="6" t="s">
        <v>54</v>
      </c>
      <c r="U70" s="11">
        <f>U46*($C$18/$C$20)/$D$20</f>
        <v>0.2149137931034483</v>
      </c>
      <c r="V70" s="11">
        <f>U70*(1.01)^6</f>
        <v>0.22813532202140463</v>
      </c>
      <c r="W70" s="11">
        <f t="shared" si="106"/>
        <v>0.28800503724811427</v>
      </c>
      <c r="X70" s="11">
        <f t="shared" si="107"/>
        <v>0.25200332429265354</v>
      </c>
      <c r="Y70" s="11">
        <f t="shared" si="108"/>
        <v>0.46912985765829029</v>
      </c>
      <c r="Z70" s="11">
        <f t="shared" si="109"/>
        <v>0.27836844769084007</v>
      </c>
      <c r="AA70" s="12">
        <f>U70*(1.05)^26</f>
        <v>0.76416310440045498</v>
      </c>
      <c r="AC70" s="6" t="s">
        <v>54</v>
      </c>
      <c r="AD70" s="11">
        <f>AD46*($C$18/$C$20)/$D$20</f>
        <v>0.25822083865474676</v>
      </c>
      <c r="AE70" s="11">
        <f>AD70*(1.01)^6</f>
        <v>0.27410662353710336</v>
      </c>
      <c r="AF70" s="11">
        <f t="shared" si="112"/>
        <v>0.34604062019975762</v>
      </c>
      <c r="AG70" s="11">
        <f t="shared" si="113"/>
        <v>0.30278424108084401</v>
      </c>
      <c r="AH70" s="11">
        <f t="shared" si="114"/>
        <v>0.56366370689011869</v>
      </c>
      <c r="AI70" s="11">
        <f t="shared" si="115"/>
        <v>0.33446217192374056</v>
      </c>
      <c r="AJ70" s="12">
        <f>AD70*(1.05)^26</f>
        <v>0.91814878346276907</v>
      </c>
      <c r="AK70" s="3"/>
      <c r="AL70" s="6" t="s">
        <v>54</v>
      </c>
      <c r="AM70" s="11">
        <f>AM46*($C$18/$C$20)/$D$20</f>
        <v>0.47313463175819503</v>
      </c>
      <c r="AN70" s="11">
        <f>AM70*(1.01)^6</f>
        <v>0.50224194555850799</v>
      </c>
      <c r="AO70" s="11">
        <f t="shared" si="88"/>
        <v>0.63404565744787178</v>
      </c>
      <c r="AP70" s="11">
        <f t="shared" si="89"/>
        <v>0.5547875653734976</v>
      </c>
      <c r="AQ70" s="11">
        <f t="shared" si="90"/>
        <v>1.0327935645484088</v>
      </c>
      <c r="AR70" s="11">
        <f t="shared" si="91"/>
        <v>0.61283061961458063</v>
      </c>
      <c r="AS70" s="12">
        <f t="shared" si="92"/>
        <v>1.6823118878632239</v>
      </c>
      <c r="AU70" s="6" t="s">
        <v>54</v>
      </c>
      <c r="AV70" s="11">
        <f>AV46*($C$18/$C$20)/$D$20</f>
        <v>0.14162494678586637</v>
      </c>
      <c r="AW70" s="11">
        <f>AV70*(1.01)^6</f>
        <v>0.1503377348409915</v>
      </c>
      <c r="AX70" s="11">
        <f t="shared" si="119"/>
        <v>0.18979097379148713</v>
      </c>
      <c r="AY70" s="11">
        <f t="shared" si="120"/>
        <v>0.16606638818956215</v>
      </c>
      <c r="AZ70" s="11">
        <f t="shared" si="121"/>
        <v>0.30914949741981168</v>
      </c>
      <c r="BA70" s="11">
        <f t="shared" si="122"/>
        <v>0.18344060668131634</v>
      </c>
      <c r="BB70" s="12">
        <f>AV70*(1.05)^26</f>
        <v>0.50357195521807774</v>
      </c>
      <c r="BD70" s="6" t="s">
        <v>54</v>
      </c>
      <c r="BE70" s="11">
        <f>BE46*($C$18/$C$20)/$D$20</f>
        <v>0.19791820987654321</v>
      </c>
      <c r="BF70" s="11">
        <f>BE70*(1.01)^6</f>
        <v>0.21009416795482849</v>
      </c>
      <c r="BG70" s="11">
        <f t="shared" si="125"/>
        <v>0.26522933025585937</v>
      </c>
      <c r="BH70" s="11">
        <f t="shared" si="126"/>
        <v>0.23207466634276125</v>
      </c>
      <c r="BI70" s="11">
        <f t="shared" si="127"/>
        <v>0.4320306309175489</v>
      </c>
      <c r="BJ70" s="11">
        <f t="shared" si="128"/>
        <v>0.25635481118963716</v>
      </c>
      <c r="BK70" s="12">
        <f>BE70*(1.05)^26</f>
        <v>0.70373237330486338</v>
      </c>
      <c r="BM70" s="6" t="s">
        <v>54</v>
      </c>
      <c r="BN70" s="11">
        <f>BN46*($C$18/$C$20)/$D$20</f>
        <v>0.33954315666240958</v>
      </c>
      <c r="BO70" s="11">
        <f>BN70*(1.01)^6</f>
        <v>0.36043190279581999</v>
      </c>
      <c r="BP70" s="11">
        <f t="shared" si="131"/>
        <v>0.4550203040473465</v>
      </c>
      <c r="BQ70" s="11">
        <f t="shared" si="132"/>
        <v>0.3981410545323234</v>
      </c>
      <c r="BR70" s="11">
        <f t="shared" si="133"/>
        <v>0.74118012833736058</v>
      </c>
      <c r="BS70" s="11">
        <f t="shared" si="134"/>
        <v>0.43979541787095344</v>
      </c>
      <c r="BT70" s="12">
        <f>BN70*(1.05)^26</f>
        <v>1.2073043285229412</v>
      </c>
    </row>
    <row r="71" spans="2:72" ht="15.75" thickBot="1" x14ac:dyDescent="0.3">
      <c r="L71" s="3"/>
      <c r="M71" s="3"/>
      <c r="N71" s="3"/>
      <c r="O71" s="3"/>
      <c r="P71" s="3"/>
      <c r="Q71" s="3"/>
      <c r="R71" s="3"/>
      <c r="U71" s="3"/>
      <c r="V71" s="3"/>
      <c r="W71" s="3"/>
      <c r="X71" s="3"/>
      <c r="Y71" s="3"/>
      <c r="Z71" s="3"/>
      <c r="AA71" s="3"/>
      <c r="AD71" s="3"/>
      <c r="AE71" s="3"/>
      <c r="AF71" s="3"/>
      <c r="AG71" s="3"/>
      <c r="AH71" s="3"/>
      <c r="AI71" s="3"/>
      <c r="AJ71" s="3"/>
      <c r="AK71" s="3"/>
      <c r="AM71" s="3"/>
      <c r="AN71" s="3"/>
      <c r="AO71" s="3"/>
      <c r="AP71" s="3"/>
      <c r="AQ71" s="3"/>
      <c r="AR71" s="3"/>
      <c r="AS71" s="3"/>
      <c r="AV71" s="3"/>
      <c r="AW71" s="3"/>
      <c r="AX71" s="3"/>
      <c r="AY71" s="3"/>
      <c r="AZ71" s="3"/>
      <c r="BA71" s="3"/>
      <c r="BB71" s="3"/>
      <c r="BE71" s="3"/>
      <c r="BF71" s="3"/>
      <c r="BG71" s="3"/>
      <c r="BH71" s="3"/>
      <c r="BI71" s="3"/>
      <c r="BJ71" s="3"/>
      <c r="BK71" s="3"/>
      <c r="BN71" s="3"/>
      <c r="BO71" s="3"/>
      <c r="BP71" s="3"/>
      <c r="BQ71" s="3"/>
      <c r="BR71" s="3"/>
      <c r="BS71" s="3"/>
      <c r="BT71" s="3"/>
    </row>
    <row r="72" spans="2:72" ht="15.75" thickBot="1" x14ac:dyDescent="0.3">
      <c r="B72" s="34" t="s">
        <v>59</v>
      </c>
      <c r="C72" s="35"/>
      <c r="D72" s="35"/>
      <c r="E72" s="35"/>
      <c r="F72" s="35"/>
      <c r="G72" s="35"/>
      <c r="H72" s="35"/>
      <c r="I72" s="36"/>
      <c r="K72" s="49" t="s">
        <v>59</v>
      </c>
      <c r="L72" s="50"/>
      <c r="M72" s="50"/>
      <c r="N72" s="50"/>
      <c r="O72" s="50"/>
      <c r="P72" s="50"/>
      <c r="Q72" s="50"/>
      <c r="R72" s="51"/>
      <c r="T72" s="52" t="s">
        <v>59</v>
      </c>
      <c r="U72" s="53"/>
      <c r="V72" s="53"/>
      <c r="W72" s="53"/>
      <c r="X72" s="53"/>
      <c r="Y72" s="53"/>
      <c r="Z72" s="53"/>
      <c r="AA72" s="54"/>
      <c r="AC72" s="52" t="s">
        <v>59</v>
      </c>
      <c r="AD72" s="53"/>
      <c r="AE72" s="53"/>
      <c r="AF72" s="53"/>
      <c r="AG72" s="53"/>
      <c r="AH72" s="53"/>
      <c r="AI72" s="53"/>
      <c r="AJ72" s="54"/>
      <c r="AK72" s="3"/>
      <c r="AL72" s="52" t="s">
        <v>59</v>
      </c>
      <c r="AM72" s="53"/>
      <c r="AN72" s="53"/>
      <c r="AO72" s="53"/>
      <c r="AP72" s="53"/>
      <c r="AQ72" s="53"/>
      <c r="AR72" s="53"/>
      <c r="AS72" s="54"/>
      <c r="AU72" s="45" t="s">
        <v>59</v>
      </c>
      <c r="AV72" s="46"/>
      <c r="AW72" s="46"/>
      <c r="AX72" s="46"/>
      <c r="AY72" s="46"/>
      <c r="AZ72" s="46"/>
      <c r="BA72" s="46"/>
      <c r="BB72" s="47"/>
      <c r="BD72" s="45" t="s">
        <v>59</v>
      </c>
      <c r="BE72" s="46"/>
      <c r="BF72" s="46"/>
      <c r="BG72" s="46"/>
      <c r="BH72" s="46"/>
      <c r="BI72" s="46"/>
      <c r="BJ72" s="46"/>
      <c r="BK72" s="47"/>
      <c r="BM72" s="45" t="s">
        <v>59</v>
      </c>
      <c r="BN72" s="46"/>
      <c r="BO72" s="46"/>
      <c r="BP72" s="46"/>
      <c r="BQ72" s="46"/>
      <c r="BR72" s="46"/>
      <c r="BS72" s="46"/>
      <c r="BT72" s="47"/>
    </row>
    <row r="73" spans="2:72" x14ac:dyDescent="0.25">
      <c r="B73" s="7" t="s">
        <v>44</v>
      </c>
      <c r="C73" s="325" t="s">
        <v>57</v>
      </c>
      <c r="D73" s="325"/>
      <c r="E73" s="325"/>
      <c r="F73" s="325"/>
      <c r="G73" s="325"/>
      <c r="H73" s="325"/>
      <c r="I73" s="326"/>
      <c r="K73" s="7" t="s">
        <v>44</v>
      </c>
      <c r="L73" s="325" t="s">
        <v>57</v>
      </c>
      <c r="M73" s="325"/>
      <c r="N73" s="325"/>
      <c r="O73" s="325"/>
      <c r="P73" s="325"/>
      <c r="Q73" s="325"/>
      <c r="R73" s="326"/>
      <c r="T73" s="7" t="s">
        <v>44</v>
      </c>
      <c r="U73" s="325" t="s">
        <v>57</v>
      </c>
      <c r="V73" s="325"/>
      <c r="W73" s="325"/>
      <c r="X73" s="325"/>
      <c r="Y73" s="325"/>
      <c r="Z73" s="325"/>
      <c r="AA73" s="326"/>
      <c r="AC73" s="7" t="s">
        <v>44</v>
      </c>
      <c r="AD73" s="325" t="s">
        <v>57</v>
      </c>
      <c r="AE73" s="325"/>
      <c r="AF73" s="325"/>
      <c r="AG73" s="325"/>
      <c r="AH73" s="325"/>
      <c r="AI73" s="325"/>
      <c r="AJ73" s="326"/>
      <c r="AK73" s="3"/>
      <c r="AL73" s="7" t="s">
        <v>44</v>
      </c>
      <c r="AM73" s="325" t="s">
        <v>57</v>
      </c>
      <c r="AN73" s="325"/>
      <c r="AO73" s="325"/>
      <c r="AP73" s="325"/>
      <c r="AQ73" s="325"/>
      <c r="AR73" s="325"/>
      <c r="AS73" s="326"/>
      <c r="AU73" s="7" t="s">
        <v>44</v>
      </c>
      <c r="AV73" s="325" t="s">
        <v>57</v>
      </c>
      <c r="AW73" s="325"/>
      <c r="AX73" s="325"/>
      <c r="AY73" s="325"/>
      <c r="AZ73" s="325"/>
      <c r="BA73" s="325"/>
      <c r="BB73" s="326"/>
      <c r="BD73" s="7" t="s">
        <v>44</v>
      </c>
      <c r="BE73" s="325" t="s">
        <v>57</v>
      </c>
      <c r="BF73" s="325"/>
      <c r="BG73" s="325"/>
      <c r="BH73" s="325"/>
      <c r="BI73" s="325"/>
      <c r="BJ73" s="325"/>
      <c r="BK73" s="326"/>
      <c r="BM73" s="7" t="s">
        <v>44</v>
      </c>
      <c r="BN73" s="325" t="s">
        <v>57</v>
      </c>
      <c r="BO73" s="325"/>
      <c r="BP73" s="325"/>
      <c r="BQ73" s="325"/>
      <c r="BR73" s="325"/>
      <c r="BS73" s="325"/>
      <c r="BT73" s="326"/>
    </row>
    <row r="74" spans="2:72" x14ac:dyDescent="0.25">
      <c r="B74" s="5"/>
      <c r="C74" s="3" t="s">
        <v>46</v>
      </c>
      <c r="I74" s="10"/>
      <c r="K74" s="5"/>
      <c r="L74" s="3" t="s">
        <v>46</v>
      </c>
      <c r="M74" s="3"/>
      <c r="N74" s="3"/>
      <c r="O74" s="3"/>
      <c r="P74" s="3"/>
      <c r="Q74" s="3"/>
      <c r="R74" s="10"/>
      <c r="T74" s="5"/>
      <c r="U74" s="3" t="s">
        <v>46</v>
      </c>
      <c r="V74" s="3"/>
      <c r="W74" s="3"/>
      <c r="X74" s="3"/>
      <c r="Y74" s="3"/>
      <c r="Z74" s="3"/>
      <c r="AA74" s="10"/>
      <c r="AC74" s="5"/>
      <c r="AD74" s="3" t="s">
        <v>46</v>
      </c>
      <c r="AE74" s="3"/>
      <c r="AF74" s="3"/>
      <c r="AG74" s="3"/>
      <c r="AH74" s="3"/>
      <c r="AI74" s="3"/>
      <c r="AJ74" s="10"/>
      <c r="AK74" s="3"/>
      <c r="AL74" s="5"/>
      <c r="AM74" s="3" t="s">
        <v>46</v>
      </c>
      <c r="AN74" s="3"/>
      <c r="AO74" s="3"/>
      <c r="AP74" s="3"/>
      <c r="AQ74" s="3"/>
      <c r="AR74" s="3"/>
      <c r="AS74" s="10"/>
      <c r="AU74" s="5"/>
      <c r="AV74" s="3" t="s">
        <v>46</v>
      </c>
      <c r="AW74" s="3"/>
      <c r="AX74" s="3"/>
      <c r="AY74" s="3"/>
      <c r="AZ74" s="3"/>
      <c r="BA74" s="3"/>
      <c r="BB74" s="10"/>
      <c r="BD74" s="5"/>
      <c r="BE74" s="3" t="s">
        <v>46</v>
      </c>
      <c r="BF74" s="3"/>
      <c r="BG74" s="3"/>
      <c r="BH74" s="3"/>
      <c r="BI74" s="3"/>
      <c r="BJ74" s="3"/>
      <c r="BK74" s="10"/>
      <c r="BM74" s="5"/>
      <c r="BN74" s="3" t="s">
        <v>46</v>
      </c>
      <c r="BO74" s="3"/>
      <c r="BP74" s="3"/>
      <c r="BQ74" s="3"/>
      <c r="BR74" s="3"/>
      <c r="BS74" s="3"/>
      <c r="BT74" s="10"/>
    </row>
    <row r="75" spans="2:72" ht="15.75" thickBot="1" x14ac:dyDescent="0.3">
      <c r="B75" s="6"/>
      <c r="C75" s="11"/>
      <c r="D75" s="11" t="s">
        <v>47</v>
      </c>
      <c r="E75" s="11" t="s">
        <v>48</v>
      </c>
      <c r="F75" s="11" t="s">
        <v>47</v>
      </c>
      <c r="G75" s="11" t="s">
        <v>48</v>
      </c>
      <c r="H75" s="11" t="s">
        <v>47</v>
      </c>
      <c r="I75" s="12" t="s">
        <v>48</v>
      </c>
      <c r="K75" s="6"/>
      <c r="L75" s="11"/>
      <c r="M75" s="11" t="s">
        <v>47</v>
      </c>
      <c r="N75" s="11" t="s">
        <v>48</v>
      </c>
      <c r="O75" s="11" t="s">
        <v>47</v>
      </c>
      <c r="P75" s="11" t="s">
        <v>48</v>
      </c>
      <c r="Q75" s="11" t="s">
        <v>47</v>
      </c>
      <c r="R75" s="12" t="s">
        <v>48</v>
      </c>
      <c r="T75" s="6"/>
      <c r="U75" s="11"/>
      <c r="V75" s="11" t="s">
        <v>47</v>
      </c>
      <c r="W75" s="11" t="s">
        <v>48</v>
      </c>
      <c r="X75" s="11" t="s">
        <v>47</v>
      </c>
      <c r="Y75" s="11" t="s">
        <v>48</v>
      </c>
      <c r="Z75" s="11" t="s">
        <v>47</v>
      </c>
      <c r="AA75" s="12" t="s">
        <v>48</v>
      </c>
      <c r="AC75" s="6"/>
      <c r="AD75" s="11"/>
      <c r="AE75" s="11" t="s">
        <v>47</v>
      </c>
      <c r="AF75" s="11" t="s">
        <v>48</v>
      </c>
      <c r="AG75" s="11" t="s">
        <v>47</v>
      </c>
      <c r="AH75" s="11" t="s">
        <v>48</v>
      </c>
      <c r="AI75" s="11" t="s">
        <v>47</v>
      </c>
      <c r="AJ75" s="12" t="s">
        <v>48</v>
      </c>
      <c r="AK75" s="3"/>
      <c r="AL75" s="6"/>
      <c r="AM75" s="11"/>
      <c r="AN75" s="11" t="s">
        <v>47</v>
      </c>
      <c r="AO75" s="11" t="s">
        <v>48</v>
      </c>
      <c r="AP75" s="11" t="s">
        <v>47</v>
      </c>
      <c r="AQ75" s="11" t="s">
        <v>48</v>
      </c>
      <c r="AR75" s="11" t="s">
        <v>47</v>
      </c>
      <c r="AS75" s="12" t="s">
        <v>48</v>
      </c>
      <c r="AU75" s="6"/>
      <c r="AV75" s="11"/>
      <c r="AW75" s="11" t="s">
        <v>47</v>
      </c>
      <c r="AX75" s="11" t="s">
        <v>48</v>
      </c>
      <c r="AY75" s="11" t="s">
        <v>47</v>
      </c>
      <c r="AZ75" s="11" t="s">
        <v>48</v>
      </c>
      <c r="BA75" s="11" t="s">
        <v>47</v>
      </c>
      <c r="BB75" s="12" t="s">
        <v>48</v>
      </c>
      <c r="BD75" s="6"/>
      <c r="BE75" s="11"/>
      <c r="BF75" s="11" t="s">
        <v>47</v>
      </c>
      <c r="BG75" s="11" t="s">
        <v>48</v>
      </c>
      <c r="BH75" s="11" t="s">
        <v>47</v>
      </c>
      <c r="BI75" s="11" t="s">
        <v>48</v>
      </c>
      <c r="BJ75" s="11" t="s">
        <v>47</v>
      </c>
      <c r="BK75" s="12" t="s">
        <v>48</v>
      </c>
      <c r="BM75" s="6"/>
      <c r="BN75" s="11"/>
      <c r="BO75" s="11" t="s">
        <v>47</v>
      </c>
      <c r="BP75" s="11" t="s">
        <v>48</v>
      </c>
      <c r="BQ75" s="11" t="s">
        <v>47</v>
      </c>
      <c r="BR75" s="11" t="s">
        <v>48</v>
      </c>
      <c r="BS75" s="11" t="s">
        <v>47</v>
      </c>
      <c r="BT75" s="12" t="s">
        <v>48</v>
      </c>
    </row>
    <row r="76" spans="2:72" x14ac:dyDescent="0.25">
      <c r="B76" s="5" t="s">
        <v>49</v>
      </c>
      <c r="C76" s="3">
        <f>C81*0.05</f>
        <v>0.18823720930232563</v>
      </c>
      <c r="D76" s="3">
        <f>C76*(1.01)^6</f>
        <v>0.19981759076731667</v>
      </c>
      <c r="E76" s="3">
        <f>C76*(1.05)^6</f>
        <v>0.25225586358946228</v>
      </c>
      <c r="F76" s="3">
        <f>C76*(1.01)^16</f>
        <v>0.22072293180793964</v>
      </c>
      <c r="G76" s="3">
        <f>C76*(1.05)^16</f>
        <v>0.41089822077397842</v>
      </c>
      <c r="H76" s="3">
        <f>C76*(1.01)^26</f>
        <v>0.24381543406067871</v>
      </c>
      <c r="I76" s="10">
        <f>C76*(1.05)^26</f>
        <v>0.66930990397114432</v>
      </c>
      <c r="K76" s="5" t="s">
        <v>49</v>
      </c>
      <c r="L76" s="3">
        <f>L81*0.05</f>
        <v>0.10013255813953488</v>
      </c>
      <c r="M76" s="3">
        <f>L76*(1.01)^6</f>
        <v>0.10629272819634247</v>
      </c>
      <c r="N76" s="3">
        <f>L76*(1.05)^6</f>
        <v>0.13418720464742004</v>
      </c>
      <c r="O76" s="3">
        <f>L76*(1.01)^16</f>
        <v>0.1174132993359993</v>
      </c>
      <c r="P76" s="3">
        <f>L76*(1.05)^16</f>
        <v>0.21857681663246747</v>
      </c>
      <c r="Q76" s="3">
        <f>L76*(1.01)^26</f>
        <v>0.12969732826407354</v>
      </c>
      <c r="R76" s="10">
        <f>L76*(1.05)^26</f>
        <v>0.3560386021507444</v>
      </c>
      <c r="T76" s="5" t="s">
        <v>49</v>
      </c>
      <c r="U76" s="3">
        <f>U81*0.05</f>
        <v>8.4767441860465129E-3</v>
      </c>
      <c r="V76" s="3">
        <f>U76*(1.01)^6</f>
        <v>8.9982347649782465E-3</v>
      </c>
      <c r="W76" s="3">
        <f>U76*(1.05)^6</f>
        <v>1.1359647930414246E-2</v>
      </c>
      <c r="X76" s="3">
        <f>U76*(1.01)^16</f>
        <v>9.9396492110392625E-3</v>
      </c>
      <c r="Y76" s="3">
        <f>U76*(1.05)^16</f>
        <v>1.850366947593525E-2</v>
      </c>
      <c r="Z76" s="3">
        <f>U76*(1.01)^26</f>
        <v>1.0979556437339994E-2</v>
      </c>
      <c r="AA76" s="10">
        <f>U76*(1.05)^26</f>
        <v>3.0140527785016691E-2</v>
      </c>
      <c r="AC76" s="5" t="s">
        <v>49</v>
      </c>
      <c r="AD76" s="3">
        <f>AD81*0.05</f>
        <v>1.0184883720930236E-2</v>
      </c>
      <c r="AE76" s="3">
        <f>AD76*(1.01)^6</f>
        <v>1.081145930129554E-2</v>
      </c>
      <c r="AF76" s="3">
        <f>AD76*(1.05)^6</f>
        <v>1.3648718274691139E-2</v>
      </c>
      <c r="AG76" s="3">
        <f>AD76*(1.01)^16</f>
        <v>1.1942577152193816E-2</v>
      </c>
      <c r="AH76" s="3">
        <f>AD76*(1.05)^16</f>
        <v>2.2232323860043469E-2</v>
      </c>
      <c r="AI76" s="3">
        <f>AD76*(1.01)^26</f>
        <v>1.3192034956743625E-2</v>
      </c>
      <c r="AJ76" s="10">
        <f>AD76*(1.05)^26</f>
        <v>3.6214112876400716E-2</v>
      </c>
      <c r="AK76" s="3"/>
      <c r="AL76" s="5" t="s">
        <v>49</v>
      </c>
      <c r="AM76" s="3">
        <f>AM81*0.05</f>
        <v>1.8661627906976747E-2</v>
      </c>
      <c r="AN76" s="3">
        <f>AM76*(1.01)^6</f>
        <v>1.9809694066273784E-2</v>
      </c>
      <c r="AO76" s="3">
        <f t="shared" ref="AO76:AO81" si="136">AM76*(1.05)^6</f>
        <v>2.5008366205105381E-2</v>
      </c>
      <c r="AP76" s="3">
        <f t="shared" ref="AP76:AP81" si="137">AM76*(1.01)^16</f>
        <v>2.1882226363233077E-2</v>
      </c>
      <c r="AQ76" s="3">
        <f t="shared" ref="AQ76:AQ81" si="138">AM76*(1.05)^16</f>
        <v>4.0735993335978715E-2</v>
      </c>
      <c r="AR76" s="3">
        <f t="shared" ref="AR76:AR81" si="139">AM76*(1.01)^26</f>
        <v>2.4171591394083619E-2</v>
      </c>
      <c r="AS76" s="10">
        <f t="shared" ref="AS76:AS81" si="140">AM76*(1.05)^26</f>
        <v>6.6354640661417399E-2</v>
      </c>
      <c r="AU76" s="5" t="s">
        <v>49</v>
      </c>
      <c r="AV76" s="3">
        <f>AV81*0.05</f>
        <v>5.5860465116279083E-3</v>
      </c>
      <c r="AW76" s="3">
        <f>AV76*(1.01)^6</f>
        <v>5.929700934287449E-3</v>
      </c>
      <c r="AX76" s="3">
        <f>AV76*(1.05)^6</f>
        <v>7.4858365785610481E-3</v>
      </c>
      <c r="AY76" s="3">
        <f>AV76*(1.01)^16</f>
        <v>6.550078849085407E-3</v>
      </c>
      <c r="AZ76" s="3">
        <f>AV76*(1.05)^16</f>
        <v>1.2193638979752119E-2</v>
      </c>
      <c r="BA76" s="3">
        <f>AV76*(1.01)^26</f>
        <v>7.2353620198877004E-3</v>
      </c>
      <c r="BB76" s="10">
        <f>AV76*(1.05)^26</f>
        <v>1.9862153014982193E-2</v>
      </c>
      <c r="BD76" s="5" t="s">
        <v>49</v>
      </c>
      <c r="BE76" s="3">
        <f>BE81*0.05</f>
        <v>7.8063953488372098E-3</v>
      </c>
      <c r="BF76" s="3">
        <f>BE76*(1.01)^6</f>
        <v>8.2866459663486214E-3</v>
      </c>
      <c r="BG76" s="3">
        <f>BE76*(1.05)^6</f>
        <v>1.0461316375972021E-2</v>
      </c>
      <c r="BH76" s="3">
        <f>BE76*(1.01)^16</f>
        <v>9.1536124798781999E-3</v>
      </c>
      <c r="BI76" s="3">
        <f>BE76*(1.05)^16</f>
        <v>1.7040382033839684E-2</v>
      </c>
      <c r="BJ76" s="3">
        <f>BE76*(1.01)^26</f>
        <v>1.0111282872713586E-2</v>
      </c>
      <c r="BK76" s="10">
        <f>BE76*(1.05)^26</f>
        <v>2.7756986733156314E-2</v>
      </c>
      <c r="BM76" s="5" t="s">
        <v>49</v>
      </c>
      <c r="BN76" s="3">
        <f>BN81*0.05</f>
        <v>1.3392441860465119E-2</v>
      </c>
      <c r="BO76" s="3">
        <f>BN76*(1.01)^6</f>
        <v>1.4216346900636072E-2</v>
      </c>
      <c r="BP76" s="3">
        <f>BN76*(1.05)^6</f>
        <v>1.7947152954533072E-2</v>
      </c>
      <c r="BQ76" s="3">
        <f>BN76*(1.01)^16</f>
        <v>1.5703691328963609E-2</v>
      </c>
      <c r="BR76" s="3">
        <f>BN76*(1.05)^16</f>
        <v>2.9234021013591807E-2</v>
      </c>
      <c r="BS76" s="3">
        <f>BN76*(1.01)^26</f>
        <v>1.7346644892601289E-2</v>
      </c>
      <c r="BT76" s="10">
        <f>BN76*(1.05)^26</f>
        <v>4.7619139748138514E-2</v>
      </c>
    </row>
    <row r="77" spans="2:72" x14ac:dyDescent="0.25">
      <c r="B77" s="5" t="s">
        <v>50</v>
      </c>
      <c r="C77" s="3">
        <f>C81*0.1</f>
        <v>0.37647441860465125</v>
      </c>
      <c r="D77" s="3">
        <f t="shared" ref="D77:D80" si="141">C77*(1.01)^6</f>
        <v>0.39963518153463334</v>
      </c>
      <c r="E77" s="3">
        <f t="shared" ref="E77:E81" si="142">C77*(1.05)^6</f>
        <v>0.50451172717892456</v>
      </c>
      <c r="F77" s="3">
        <f t="shared" ref="F77:F81" si="143">C77*(1.01)^16</f>
        <v>0.44144586361587929</v>
      </c>
      <c r="G77" s="3">
        <f t="shared" ref="G77:G81" si="144">C77*(1.05)^16</f>
        <v>0.82179644154795684</v>
      </c>
      <c r="H77" s="3">
        <f t="shared" ref="H77:H81" si="145">C77*(1.01)^26</f>
        <v>0.48763086812135742</v>
      </c>
      <c r="I77" s="10">
        <f t="shared" ref="I77:I80" si="146">C77*(1.05)^26</f>
        <v>1.3386198079422886</v>
      </c>
      <c r="K77" s="5" t="s">
        <v>50</v>
      </c>
      <c r="L77" s="3">
        <f>L81*0.1</f>
        <v>0.20026511627906976</v>
      </c>
      <c r="M77" s="3">
        <f t="shared" ref="M77:M80" si="147">L77*(1.01)^6</f>
        <v>0.21258545639268495</v>
      </c>
      <c r="N77" s="3">
        <f t="shared" ref="N77:N81" si="148">L77*(1.05)^6</f>
        <v>0.26837440929484008</v>
      </c>
      <c r="O77" s="3">
        <f t="shared" ref="O77:O81" si="149">L77*(1.01)^16</f>
        <v>0.23482659867199859</v>
      </c>
      <c r="P77" s="3">
        <f t="shared" ref="P77:P81" si="150">L77*(1.05)^16</f>
        <v>0.43715363326493495</v>
      </c>
      <c r="Q77" s="3">
        <f t="shared" ref="Q77:Q81" si="151">L77*(1.01)^26</f>
        <v>0.25939465652814708</v>
      </c>
      <c r="R77" s="10">
        <f t="shared" ref="R77:R80" si="152">L77*(1.05)^26</f>
        <v>0.7120772043014888</v>
      </c>
      <c r="T77" s="5" t="s">
        <v>50</v>
      </c>
      <c r="U77" s="3">
        <f>U81*0.1</f>
        <v>1.6953488372093026E-2</v>
      </c>
      <c r="V77" s="3">
        <f t="shared" ref="V77:V80" si="153">U77*(1.01)^6</f>
        <v>1.7996469529956493E-2</v>
      </c>
      <c r="W77" s="3">
        <f t="shared" ref="W77:W81" si="154">U77*(1.05)^6</f>
        <v>2.2719295860828492E-2</v>
      </c>
      <c r="X77" s="3">
        <f t="shared" ref="X77:X81" si="155">U77*(1.01)^16</f>
        <v>1.9879298422078525E-2</v>
      </c>
      <c r="Y77" s="3">
        <f t="shared" ref="Y77:Y81" si="156">U77*(1.05)^16</f>
        <v>3.70073389518705E-2</v>
      </c>
      <c r="Z77" s="3">
        <f t="shared" ref="Z77:Z81" si="157">U77*(1.01)^26</f>
        <v>2.1959112874679988E-2</v>
      </c>
      <c r="AA77" s="10">
        <f t="shared" ref="AA77:AA80" si="158">U77*(1.05)^26</f>
        <v>6.0281055570033382E-2</v>
      </c>
      <c r="AC77" s="5" t="s">
        <v>50</v>
      </c>
      <c r="AD77" s="3">
        <f>AD81*0.1</f>
        <v>2.0369767441860472E-2</v>
      </c>
      <c r="AE77" s="3">
        <f t="shared" ref="AE77:AE80" si="159">AD77*(1.01)^6</f>
        <v>2.1622918602591079E-2</v>
      </c>
      <c r="AF77" s="3">
        <f t="shared" ref="AF77:AF81" si="160">AD77*(1.05)^6</f>
        <v>2.7297436549382277E-2</v>
      </c>
      <c r="AG77" s="3">
        <f t="shared" ref="AG77:AG81" si="161">AD77*(1.01)^16</f>
        <v>2.3885154304387632E-2</v>
      </c>
      <c r="AH77" s="3">
        <f t="shared" ref="AH77:AH81" si="162">AD77*(1.05)^16</f>
        <v>4.4464647720086937E-2</v>
      </c>
      <c r="AI77" s="3">
        <f t="shared" ref="AI77:AI81" si="163">AD77*(1.01)^26</f>
        <v>2.6384069913487251E-2</v>
      </c>
      <c r="AJ77" s="10">
        <f t="shared" ref="AJ77:AJ80" si="164">AD77*(1.05)^26</f>
        <v>7.2428225752801431E-2</v>
      </c>
      <c r="AK77" s="3"/>
      <c r="AL77" s="5" t="s">
        <v>50</v>
      </c>
      <c r="AM77" s="3">
        <f>AM81*0.1</f>
        <v>3.7323255813953495E-2</v>
      </c>
      <c r="AN77" s="3">
        <f t="shared" ref="AN77:AN80" si="165">AM77*(1.01)^6</f>
        <v>3.9619388132547569E-2</v>
      </c>
      <c r="AO77" s="3">
        <f t="shared" si="136"/>
        <v>5.0016732410210762E-2</v>
      </c>
      <c r="AP77" s="3">
        <f t="shared" si="137"/>
        <v>4.3764452726466153E-2</v>
      </c>
      <c r="AQ77" s="3">
        <f t="shared" si="138"/>
        <v>8.147198667195743E-2</v>
      </c>
      <c r="AR77" s="3">
        <f t="shared" si="139"/>
        <v>4.8343182788167238E-2</v>
      </c>
      <c r="AS77" s="10">
        <f t="shared" si="140"/>
        <v>0.1327092813228348</v>
      </c>
      <c r="AU77" s="5" t="s">
        <v>50</v>
      </c>
      <c r="AV77" s="3">
        <f>AV81*0.1</f>
        <v>1.1172093023255817E-2</v>
      </c>
      <c r="AW77" s="3">
        <f t="shared" ref="AW77:AW80" si="166">AV77*(1.01)^6</f>
        <v>1.1859401868574898E-2</v>
      </c>
      <c r="AX77" s="3">
        <f t="shared" ref="AX77:AX81" si="167">AV77*(1.05)^6</f>
        <v>1.4971673157122096E-2</v>
      </c>
      <c r="AY77" s="3">
        <f t="shared" ref="AY77:AY81" si="168">AV77*(1.01)^16</f>
        <v>1.3100157698170814E-2</v>
      </c>
      <c r="AZ77" s="3">
        <f t="shared" ref="AZ77:AZ81" si="169">AV77*(1.05)^16</f>
        <v>2.4387277959504239E-2</v>
      </c>
      <c r="BA77" s="3">
        <f t="shared" ref="BA77:BA81" si="170">AV77*(1.01)^26</f>
        <v>1.4470724039775401E-2</v>
      </c>
      <c r="BB77" s="10">
        <f t="shared" ref="BB77:BB80" si="171">AV77*(1.05)^26</f>
        <v>3.9724306029964386E-2</v>
      </c>
      <c r="BD77" s="5" t="s">
        <v>50</v>
      </c>
      <c r="BE77" s="3">
        <f>BE81*0.1</f>
        <v>1.561279069767442E-2</v>
      </c>
      <c r="BF77" s="3">
        <f t="shared" ref="BF77:BF80" si="172">BE77*(1.01)^6</f>
        <v>1.6573291932697243E-2</v>
      </c>
      <c r="BG77" s="3">
        <f t="shared" ref="BG77:BG81" si="173">BE77*(1.05)^6</f>
        <v>2.0922632751944042E-2</v>
      </c>
      <c r="BH77" s="3">
        <f t="shared" ref="BH77:BH81" si="174">BE77*(1.01)^16</f>
        <v>1.83072249597564E-2</v>
      </c>
      <c r="BI77" s="3">
        <f t="shared" ref="BI77:BI81" si="175">BE77*(1.05)^16</f>
        <v>3.4080764067679369E-2</v>
      </c>
      <c r="BJ77" s="3">
        <f t="shared" ref="BJ77:BJ81" si="176">BE77*(1.01)^26</f>
        <v>2.0222565745427173E-2</v>
      </c>
      <c r="BK77" s="10">
        <f t="shared" ref="BK77:BK80" si="177">BE77*(1.05)^26</f>
        <v>5.5513973466312629E-2</v>
      </c>
      <c r="BM77" s="5" t="s">
        <v>50</v>
      </c>
      <c r="BN77" s="3">
        <f>BN81*0.1</f>
        <v>2.6784883720930238E-2</v>
      </c>
      <c r="BO77" s="3">
        <f t="shared" ref="BO77:BO80" si="178">BN77*(1.01)^6</f>
        <v>2.8432693801272144E-2</v>
      </c>
      <c r="BP77" s="3">
        <f t="shared" ref="BP77:BP81" si="179">BN77*(1.05)^6</f>
        <v>3.5894305909066143E-2</v>
      </c>
      <c r="BQ77" s="3">
        <f t="shared" ref="BQ77:BQ81" si="180">BN77*(1.01)^16</f>
        <v>3.1407382657927217E-2</v>
      </c>
      <c r="BR77" s="3">
        <f t="shared" ref="BR77:BR81" si="181">BN77*(1.05)^16</f>
        <v>5.8468042027183614E-2</v>
      </c>
      <c r="BS77" s="3">
        <f t="shared" ref="BS77:BS81" si="182">BN77*(1.01)^26</f>
        <v>3.4693289785202579E-2</v>
      </c>
      <c r="BT77" s="10">
        <f t="shared" ref="BT77:BT80" si="183">BN77*(1.05)^26</f>
        <v>9.5238279496277028E-2</v>
      </c>
    </row>
    <row r="78" spans="2:72" x14ac:dyDescent="0.25">
      <c r="B78" s="5" t="s">
        <v>51</v>
      </c>
      <c r="C78" s="3">
        <f>C81*0.25</f>
        <v>0.94118604651162807</v>
      </c>
      <c r="D78" s="3">
        <f t="shared" si="141"/>
        <v>0.99908795383658333</v>
      </c>
      <c r="E78" s="3">
        <f t="shared" si="142"/>
        <v>1.2612793179473112</v>
      </c>
      <c r="F78" s="3">
        <f t="shared" si="143"/>
        <v>1.1036146590396982</v>
      </c>
      <c r="G78" s="3">
        <f t="shared" si="144"/>
        <v>2.0544911038698919</v>
      </c>
      <c r="H78" s="3">
        <f t="shared" si="145"/>
        <v>1.2190771703033936</v>
      </c>
      <c r="I78" s="10">
        <f t="shared" si="146"/>
        <v>3.3465495198557216</v>
      </c>
      <c r="K78" s="5" t="s">
        <v>51</v>
      </c>
      <c r="L78" s="3">
        <f>L81*0.25</f>
        <v>0.50066279069767439</v>
      </c>
      <c r="M78" s="3">
        <f t="shared" si="147"/>
        <v>0.53146364098171228</v>
      </c>
      <c r="N78" s="3">
        <f t="shared" si="148"/>
        <v>0.67093602323710022</v>
      </c>
      <c r="O78" s="3">
        <f t="shared" si="149"/>
        <v>0.58706649667999644</v>
      </c>
      <c r="P78" s="3">
        <f t="shared" si="150"/>
        <v>1.0928840831623374</v>
      </c>
      <c r="Q78" s="3">
        <f t="shared" si="151"/>
        <v>0.64848664132036771</v>
      </c>
      <c r="R78" s="10">
        <f t="shared" si="152"/>
        <v>1.780193010753722</v>
      </c>
      <c r="T78" s="5" t="s">
        <v>51</v>
      </c>
      <c r="U78" s="3">
        <f>U81*0.25</f>
        <v>4.2383720930232564E-2</v>
      </c>
      <c r="V78" s="3">
        <f t="shared" si="153"/>
        <v>4.4991173824891234E-2</v>
      </c>
      <c r="W78" s="3">
        <f t="shared" si="154"/>
        <v>5.6798239652071231E-2</v>
      </c>
      <c r="X78" s="3">
        <f t="shared" si="155"/>
        <v>4.9698246055196307E-2</v>
      </c>
      <c r="Y78" s="3">
        <f t="shared" si="156"/>
        <v>9.251834737967625E-2</v>
      </c>
      <c r="Z78" s="3">
        <f t="shared" si="157"/>
        <v>5.4897782186699974E-2</v>
      </c>
      <c r="AA78" s="10">
        <f t="shared" si="158"/>
        <v>0.15070263892508345</v>
      </c>
      <c r="AC78" s="5" t="s">
        <v>51</v>
      </c>
      <c r="AD78" s="3">
        <f>AD81*0.25</f>
        <v>5.0924418604651175E-2</v>
      </c>
      <c r="AE78" s="3">
        <f t="shared" si="159"/>
        <v>5.4057296506477691E-2</v>
      </c>
      <c r="AF78" s="3">
        <f t="shared" si="160"/>
        <v>6.8243591373455689E-2</v>
      </c>
      <c r="AG78" s="3">
        <f t="shared" si="161"/>
        <v>5.9712885760969073E-2</v>
      </c>
      <c r="AH78" s="3">
        <f t="shared" si="162"/>
        <v>0.11116161930021734</v>
      </c>
      <c r="AI78" s="3">
        <f t="shared" si="163"/>
        <v>6.5960174783718115E-2</v>
      </c>
      <c r="AJ78" s="10">
        <f t="shared" si="164"/>
        <v>0.18107056438200358</v>
      </c>
      <c r="AK78" s="3"/>
      <c r="AL78" s="5" t="s">
        <v>51</v>
      </c>
      <c r="AM78" s="3">
        <f>AM81*0.25</f>
        <v>9.3308139534883733E-2</v>
      </c>
      <c r="AN78" s="3">
        <f t="shared" si="165"/>
        <v>9.9048470331368918E-2</v>
      </c>
      <c r="AO78" s="3">
        <f t="shared" si="136"/>
        <v>0.12504183102552691</v>
      </c>
      <c r="AP78" s="3">
        <f t="shared" si="137"/>
        <v>0.10941113181616538</v>
      </c>
      <c r="AQ78" s="3">
        <f t="shared" si="138"/>
        <v>0.20367996667989358</v>
      </c>
      <c r="AR78" s="3">
        <f t="shared" si="139"/>
        <v>0.12085795697041808</v>
      </c>
      <c r="AS78" s="10">
        <f t="shared" si="140"/>
        <v>0.33177320330708698</v>
      </c>
      <c r="AU78" s="5" t="s">
        <v>51</v>
      </c>
      <c r="AV78" s="3">
        <f>AV81*0.25</f>
        <v>2.7930232558139541E-2</v>
      </c>
      <c r="AW78" s="3">
        <f t="shared" si="166"/>
        <v>2.9648504671437242E-2</v>
      </c>
      <c r="AX78" s="3">
        <f t="shared" si="167"/>
        <v>3.7429182892805238E-2</v>
      </c>
      <c r="AY78" s="3">
        <f t="shared" si="168"/>
        <v>3.2750394245427035E-2</v>
      </c>
      <c r="AZ78" s="3">
        <f t="shared" si="169"/>
        <v>6.0968194898760597E-2</v>
      </c>
      <c r="BA78" s="3">
        <f t="shared" si="170"/>
        <v>3.6176810099438503E-2</v>
      </c>
      <c r="BB78" s="10">
        <f t="shared" si="171"/>
        <v>9.9310765074910962E-2</v>
      </c>
      <c r="BD78" s="5" t="s">
        <v>51</v>
      </c>
      <c r="BE78" s="3">
        <f>BE81*0.25</f>
        <v>3.9031976744186049E-2</v>
      </c>
      <c r="BF78" s="3">
        <f t="shared" si="172"/>
        <v>4.1433229831743107E-2</v>
      </c>
      <c r="BG78" s="3">
        <f t="shared" si="173"/>
        <v>5.2306581879860106E-2</v>
      </c>
      <c r="BH78" s="3">
        <f t="shared" si="174"/>
        <v>4.5768062399391005E-2</v>
      </c>
      <c r="BI78" s="3">
        <f t="shared" si="175"/>
        <v>8.5201910169198425E-2</v>
      </c>
      <c r="BJ78" s="3">
        <f t="shared" si="176"/>
        <v>5.0556414363567934E-2</v>
      </c>
      <c r="BK78" s="10">
        <f t="shared" si="177"/>
        <v>0.13878493366578157</v>
      </c>
      <c r="BM78" s="5" t="s">
        <v>51</v>
      </c>
      <c r="BN78" s="3">
        <f>BN81*0.25</f>
        <v>6.696220930232559E-2</v>
      </c>
      <c r="BO78" s="3">
        <f t="shared" si="178"/>
        <v>7.1081734503180352E-2</v>
      </c>
      <c r="BP78" s="3">
        <f t="shared" si="179"/>
        <v>8.9735764772665344E-2</v>
      </c>
      <c r="BQ78" s="3">
        <f t="shared" si="180"/>
        <v>7.8518456644818033E-2</v>
      </c>
      <c r="BR78" s="3">
        <f t="shared" si="181"/>
        <v>0.14617010506795902</v>
      </c>
      <c r="BS78" s="3">
        <f t="shared" si="182"/>
        <v>8.6733224463006436E-2</v>
      </c>
      <c r="BT78" s="10">
        <f t="shared" si="183"/>
        <v>0.23809569874069253</v>
      </c>
    </row>
    <row r="79" spans="2:72" x14ac:dyDescent="0.25">
      <c r="B79" s="5" t="s">
        <v>52</v>
      </c>
      <c r="C79" s="3">
        <f>C81*0.5</f>
        <v>1.8823720930232561</v>
      </c>
      <c r="D79" s="3">
        <f t="shared" si="141"/>
        <v>1.9981759076731667</v>
      </c>
      <c r="E79" s="3">
        <f t="shared" si="142"/>
        <v>2.5225586358946224</v>
      </c>
      <c r="F79" s="3">
        <f t="shared" si="143"/>
        <v>2.2072293180793965</v>
      </c>
      <c r="G79" s="3">
        <f t="shared" si="144"/>
        <v>4.1089822077397837</v>
      </c>
      <c r="H79" s="3">
        <f t="shared" si="145"/>
        <v>2.4381543406067872</v>
      </c>
      <c r="I79" s="10">
        <f t="shared" si="146"/>
        <v>6.6930990397114432</v>
      </c>
      <c r="K79" s="5" t="s">
        <v>52</v>
      </c>
      <c r="L79" s="3">
        <f>L81*0.5</f>
        <v>1.0013255813953488</v>
      </c>
      <c r="M79" s="3">
        <f t="shared" si="147"/>
        <v>1.0629272819634246</v>
      </c>
      <c r="N79" s="3">
        <f t="shared" si="148"/>
        <v>1.3418720464742004</v>
      </c>
      <c r="O79" s="3">
        <f t="shared" si="149"/>
        <v>1.1741329933599929</v>
      </c>
      <c r="P79" s="3">
        <f t="shared" si="150"/>
        <v>2.1857681663246749</v>
      </c>
      <c r="Q79" s="3">
        <f t="shared" si="151"/>
        <v>1.2969732826407354</v>
      </c>
      <c r="R79" s="10">
        <f t="shared" si="152"/>
        <v>3.5603860215074441</v>
      </c>
      <c r="T79" s="5" t="s">
        <v>52</v>
      </c>
      <c r="U79" s="3">
        <f>U81*0.5</f>
        <v>8.4767441860465129E-2</v>
      </c>
      <c r="V79" s="3">
        <f t="shared" si="153"/>
        <v>8.9982347649782468E-2</v>
      </c>
      <c r="W79" s="3">
        <f t="shared" si="154"/>
        <v>0.11359647930414246</v>
      </c>
      <c r="X79" s="3">
        <f t="shared" si="155"/>
        <v>9.9396492110392615E-2</v>
      </c>
      <c r="Y79" s="3">
        <f t="shared" si="156"/>
        <v>0.1850366947593525</v>
      </c>
      <c r="Z79" s="3">
        <f t="shared" si="157"/>
        <v>0.10979556437339995</v>
      </c>
      <c r="AA79" s="10">
        <f t="shared" si="158"/>
        <v>0.30140527785016691</v>
      </c>
      <c r="AC79" s="5" t="s">
        <v>52</v>
      </c>
      <c r="AD79" s="3">
        <f>AD81*0.5</f>
        <v>0.10184883720930235</v>
      </c>
      <c r="AE79" s="3">
        <f t="shared" si="159"/>
        <v>0.10811459301295538</v>
      </c>
      <c r="AF79" s="3">
        <f t="shared" si="160"/>
        <v>0.13648718274691138</v>
      </c>
      <c r="AG79" s="3">
        <f t="shared" si="161"/>
        <v>0.11942577152193815</v>
      </c>
      <c r="AH79" s="3">
        <f t="shared" si="162"/>
        <v>0.22232323860043468</v>
      </c>
      <c r="AI79" s="3">
        <f t="shared" si="163"/>
        <v>0.13192034956743623</v>
      </c>
      <c r="AJ79" s="10">
        <f t="shared" si="164"/>
        <v>0.36214112876400717</v>
      </c>
      <c r="AK79" s="3"/>
      <c r="AL79" s="5" t="s">
        <v>52</v>
      </c>
      <c r="AM79" s="3">
        <f>AM81*0.5</f>
        <v>0.18661627906976747</v>
      </c>
      <c r="AN79" s="3">
        <f t="shared" si="165"/>
        <v>0.19809694066273784</v>
      </c>
      <c r="AO79" s="3">
        <f t="shared" si="136"/>
        <v>0.25008366205105381</v>
      </c>
      <c r="AP79" s="3">
        <f t="shared" si="137"/>
        <v>0.21882226363233076</v>
      </c>
      <c r="AQ79" s="3">
        <f t="shared" si="138"/>
        <v>0.40735993335978715</v>
      </c>
      <c r="AR79" s="3">
        <f t="shared" si="139"/>
        <v>0.24171591394083616</v>
      </c>
      <c r="AS79" s="10">
        <f t="shared" si="140"/>
        <v>0.66354640661417397</v>
      </c>
      <c r="AU79" s="5" t="s">
        <v>52</v>
      </c>
      <c r="AV79" s="3">
        <f>AV81*0.5</f>
        <v>5.5860465116279082E-2</v>
      </c>
      <c r="AW79" s="3">
        <f t="shared" si="166"/>
        <v>5.9297009342874483E-2</v>
      </c>
      <c r="AX79" s="3">
        <f t="shared" si="167"/>
        <v>7.4858365785610476E-2</v>
      </c>
      <c r="AY79" s="3">
        <f t="shared" si="168"/>
        <v>6.550078849085407E-2</v>
      </c>
      <c r="AZ79" s="3">
        <f t="shared" si="169"/>
        <v>0.12193638979752119</v>
      </c>
      <c r="BA79" s="3">
        <f t="shared" si="170"/>
        <v>7.2353620198877006E-2</v>
      </c>
      <c r="BB79" s="10">
        <f t="shared" si="171"/>
        <v>0.19862153014982192</v>
      </c>
      <c r="BD79" s="5" t="s">
        <v>52</v>
      </c>
      <c r="BE79" s="3">
        <f>BE81*0.5</f>
        <v>7.8063953488372098E-2</v>
      </c>
      <c r="BF79" s="3">
        <f t="shared" si="172"/>
        <v>8.2866459663486214E-2</v>
      </c>
      <c r="BG79" s="3">
        <f t="shared" si="173"/>
        <v>0.10461316375972021</v>
      </c>
      <c r="BH79" s="3">
        <f t="shared" si="174"/>
        <v>9.1536124798782009E-2</v>
      </c>
      <c r="BI79" s="3">
        <f t="shared" si="175"/>
        <v>0.17040382033839685</v>
      </c>
      <c r="BJ79" s="3">
        <f t="shared" si="176"/>
        <v>0.10111282872713587</v>
      </c>
      <c r="BK79" s="10">
        <f t="shared" si="177"/>
        <v>0.27756986733156314</v>
      </c>
      <c r="BM79" s="5" t="s">
        <v>52</v>
      </c>
      <c r="BN79" s="3">
        <f>BN81*0.5</f>
        <v>0.13392441860465118</v>
      </c>
      <c r="BO79" s="3">
        <f t="shared" si="178"/>
        <v>0.1421634690063607</v>
      </c>
      <c r="BP79" s="3">
        <f t="shared" si="179"/>
        <v>0.17947152954533069</v>
      </c>
      <c r="BQ79" s="3">
        <f t="shared" si="180"/>
        <v>0.15703691328963607</v>
      </c>
      <c r="BR79" s="3">
        <f t="shared" si="181"/>
        <v>0.29234021013591804</v>
      </c>
      <c r="BS79" s="3">
        <f t="shared" si="182"/>
        <v>0.17346644892601287</v>
      </c>
      <c r="BT79" s="10">
        <f t="shared" si="183"/>
        <v>0.47619139748138506</v>
      </c>
    </row>
    <row r="80" spans="2:72" x14ac:dyDescent="0.25">
      <c r="B80" s="5" t="s">
        <v>53</v>
      </c>
      <c r="C80" s="3">
        <f>C81*0.75</f>
        <v>2.8235581395348843</v>
      </c>
      <c r="D80" s="3">
        <f t="shared" si="141"/>
        <v>2.99726386150975</v>
      </c>
      <c r="E80" s="3">
        <f t="shared" si="142"/>
        <v>3.783837953841934</v>
      </c>
      <c r="F80" s="3">
        <f t="shared" si="143"/>
        <v>3.3108439771190947</v>
      </c>
      <c r="G80" s="3">
        <f t="shared" si="144"/>
        <v>6.1634733116096756</v>
      </c>
      <c r="H80" s="3">
        <f t="shared" si="145"/>
        <v>3.6572315109101807</v>
      </c>
      <c r="I80" s="10">
        <f t="shared" si="146"/>
        <v>10.039648559567166</v>
      </c>
      <c r="K80" s="5" t="s">
        <v>53</v>
      </c>
      <c r="L80" s="3">
        <f>L81*0.75</f>
        <v>1.5019883720930232</v>
      </c>
      <c r="M80" s="3">
        <f t="shared" si="147"/>
        <v>1.594390922945137</v>
      </c>
      <c r="N80" s="3">
        <f t="shared" si="148"/>
        <v>2.0128080697113009</v>
      </c>
      <c r="O80" s="3">
        <f t="shared" si="149"/>
        <v>1.7611994900399894</v>
      </c>
      <c r="P80" s="3">
        <f t="shared" si="150"/>
        <v>3.2786522494870121</v>
      </c>
      <c r="Q80" s="3">
        <f t="shared" si="151"/>
        <v>1.945459923961103</v>
      </c>
      <c r="R80" s="10">
        <f t="shared" si="152"/>
        <v>5.3405790322611661</v>
      </c>
      <c r="T80" s="5" t="s">
        <v>53</v>
      </c>
      <c r="U80" s="3">
        <f>U81*0.75</f>
        <v>0.12715116279069769</v>
      </c>
      <c r="V80" s="3">
        <f t="shared" si="153"/>
        <v>0.1349735214746737</v>
      </c>
      <c r="W80" s="3">
        <f t="shared" si="154"/>
        <v>0.17039471895621366</v>
      </c>
      <c r="X80" s="3">
        <f t="shared" si="155"/>
        <v>0.14909473816558894</v>
      </c>
      <c r="Y80" s="3">
        <f t="shared" si="156"/>
        <v>0.27755504213902876</v>
      </c>
      <c r="Z80" s="3">
        <f t="shared" si="157"/>
        <v>0.1646933465600999</v>
      </c>
      <c r="AA80" s="10">
        <f t="shared" si="158"/>
        <v>0.45210791677525031</v>
      </c>
      <c r="AC80" s="5" t="s">
        <v>53</v>
      </c>
      <c r="AD80" s="3">
        <f>AD81*0.75</f>
        <v>0.15277325581395351</v>
      </c>
      <c r="AE80" s="3">
        <f t="shared" si="159"/>
        <v>0.16217188951943307</v>
      </c>
      <c r="AF80" s="3">
        <f t="shared" si="160"/>
        <v>0.20473077412036703</v>
      </c>
      <c r="AG80" s="3">
        <f t="shared" si="161"/>
        <v>0.1791386572829072</v>
      </c>
      <c r="AH80" s="3">
        <f t="shared" si="162"/>
        <v>0.33348485790065197</v>
      </c>
      <c r="AI80" s="3">
        <f t="shared" si="163"/>
        <v>0.19788052435115436</v>
      </c>
      <c r="AJ80" s="10">
        <f t="shared" si="164"/>
        <v>0.5432116931460107</v>
      </c>
      <c r="AK80" s="3"/>
      <c r="AL80" s="5" t="s">
        <v>53</v>
      </c>
      <c r="AM80" s="3">
        <f>AM81*0.75</f>
        <v>0.27992441860465123</v>
      </c>
      <c r="AN80" s="3">
        <f t="shared" si="165"/>
        <v>0.2971454109941068</v>
      </c>
      <c r="AO80" s="3">
        <f t="shared" si="136"/>
        <v>0.37512549307658072</v>
      </c>
      <c r="AP80" s="3">
        <f t="shared" si="137"/>
        <v>0.32823339544849617</v>
      </c>
      <c r="AQ80" s="3">
        <f t="shared" si="138"/>
        <v>0.61103990003968078</v>
      </c>
      <c r="AR80" s="3">
        <f t="shared" si="139"/>
        <v>0.36257387091125431</v>
      </c>
      <c r="AS80" s="10">
        <f t="shared" si="140"/>
        <v>0.99531960992126112</v>
      </c>
      <c r="AU80" s="5" t="s">
        <v>53</v>
      </c>
      <c r="AV80" s="3">
        <f>AV81*0.75</f>
        <v>8.3790697674418629E-2</v>
      </c>
      <c r="AW80" s="3">
        <f t="shared" si="166"/>
        <v>8.8945514014311736E-2</v>
      </c>
      <c r="AX80" s="3">
        <f t="shared" si="167"/>
        <v>0.11228754867841573</v>
      </c>
      <c r="AY80" s="3">
        <f t="shared" si="168"/>
        <v>9.8251182736281112E-2</v>
      </c>
      <c r="AZ80" s="3">
        <f t="shared" si="169"/>
        <v>0.18290458469628182</v>
      </c>
      <c r="BA80" s="3">
        <f t="shared" si="170"/>
        <v>0.10853043029831552</v>
      </c>
      <c r="BB80" s="10">
        <f t="shared" si="171"/>
        <v>0.29793229522473291</v>
      </c>
      <c r="BD80" s="5" t="s">
        <v>53</v>
      </c>
      <c r="BE80" s="3">
        <f>BE81*0.75</f>
        <v>0.11709593023255815</v>
      </c>
      <c r="BF80" s="3">
        <f t="shared" si="172"/>
        <v>0.12429968949522933</v>
      </c>
      <c r="BG80" s="3">
        <f t="shared" si="173"/>
        <v>0.15691974563958033</v>
      </c>
      <c r="BH80" s="3">
        <f t="shared" si="174"/>
        <v>0.137304187198173</v>
      </c>
      <c r="BI80" s="3">
        <f t="shared" si="175"/>
        <v>0.25560573050759527</v>
      </c>
      <c r="BJ80" s="3">
        <f t="shared" si="176"/>
        <v>0.15166924309070381</v>
      </c>
      <c r="BK80" s="10">
        <f t="shared" si="177"/>
        <v>0.41635480099734473</v>
      </c>
      <c r="BM80" s="5" t="s">
        <v>53</v>
      </c>
      <c r="BN80" s="3">
        <f>BN81*0.75</f>
        <v>0.20088662790697676</v>
      </c>
      <c r="BO80" s="3">
        <f t="shared" si="178"/>
        <v>0.21324520350954104</v>
      </c>
      <c r="BP80" s="3">
        <f t="shared" si="179"/>
        <v>0.269207294317996</v>
      </c>
      <c r="BQ80" s="3">
        <f t="shared" si="180"/>
        <v>0.23555536993445408</v>
      </c>
      <c r="BR80" s="3">
        <f t="shared" si="181"/>
        <v>0.43851031520387701</v>
      </c>
      <c r="BS80" s="3">
        <f t="shared" si="182"/>
        <v>0.26019967338901928</v>
      </c>
      <c r="BT80" s="10">
        <f t="shared" si="183"/>
        <v>0.71428709622207753</v>
      </c>
    </row>
    <row r="81" spans="2:72" ht="15.75" thickBot="1" x14ac:dyDescent="0.3">
      <c r="B81" s="6" t="s">
        <v>54</v>
      </c>
      <c r="C81" s="11">
        <f>C46*($C$18/$C$21)/$D$21</f>
        <v>3.7647441860465123</v>
      </c>
      <c r="D81" s="11">
        <f>C81*(1.01)^6</f>
        <v>3.9963518153463333</v>
      </c>
      <c r="E81" s="11">
        <f t="shared" si="142"/>
        <v>5.0451172717892447</v>
      </c>
      <c r="F81" s="11">
        <f t="shared" si="143"/>
        <v>4.414458636158793</v>
      </c>
      <c r="G81" s="11">
        <f t="shared" si="144"/>
        <v>8.2179644154795675</v>
      </c>
      <c r="H81" s="11">
        <f t="shared" si="145"/>
        <v>4.8763086812135743</v>
      </c>
      <c r="I81" s="12">
        <f>C81*(1.05)^26</f>
        <v>13.386198079422886</v>
      </c>
      <c r="K81" s="6" t="s">
        <v>54</v>
      </c>
      <c r="L81" s="11">
        <f>L46*($C$18/$C$21)/$D$21</f>
        <v>2.0026511627906975</v>
      </c>
      <c r="M81" s="11">
        <f>L81*(1.01)^6</f>
        <v>2.1258545639268491</v>
      </c>
      <c r="N81" s="11">
        <f t="shared" si="148"/>
        <v>2.6837440929484009</v>
      </c>
      <c r="O81" s="11">
        <f t="shared" si="149"/>
        <v>2.3482659867199858</v>
      </c>
      <c r="P81" s="11">
        <f t="shared" si="150"/>
        <v>4.3715363326493497</v>
      </c>
      <c r="Q81" s="11">
        <f t="shared" si="151"/>
        <v>2.5939465652814708</v>
      </c>
      <c r="R81" s="12">
        <f>L81*(1.05)^26</f>
        <v>7.1207720430148882</v>
      </c>
      <c r="T81" s="6" t="s">
        <v>54</v>
      </c>
      <c r="U81" s="11">
        <f>U46*($C$18/$C$21)/$D$21</f>
        <v>0.16953488372093026</v>
      </c>
      <c r="V81" s="11">
        <f>U81*(1.01)^6</f>
        <v>0.17996469529956494</v>
      </c>
      <c r="W81" s="11">
        <f t="shared" si="154"/>
        <v>0.22719295860828492</v>
      </c>
      <c r="X81" s="11">
        <f t="shared" si="155"/>
        <v>0.19879298422078523</v>
      </c>
      <c r="Y81" s="11">
        <f t="shared" si="156"/>
        <v>0.370073389518705</v>
      </c>
      <c r="Z81" s="11">
        <f t="shared" si="157"/>
        <v>0.2195911287467999</v>
      </c>
      <c r="AA81" s="12">
        <f>U81*(1.05)^26</f>
        <v>0.60281055570033382</v>
      </c>
      <c r="AC81" s="6" t="s">
        <v>54</v>
      </c>
      <c r="AD81" s="11">
        <f>AD46*($C$18/$C$21)/$D$21</f>
        <v>0.2036976744186047</v>
      </c>
      <c r="AE81" s="11">
        <f>AD81*(1.01)^6</f>
        <v>0.21622918602591076</v>
      </c>
      <c r="AF81" s="11">
        <f t="shared" si="160"/>
        <v>0.27297436549382276</v>
      </c>
      <c r="AG81" s="11">
        <f t="shared" si="161"/>
        <v>0.23885154304387629</v>
      </c>
      <c r="AH81" s="11">
        <f t="shared" si="162"/>
        <v>0.44464647720086936</v>
      </c>
      <c r="AI81" s="11">
        <f t="shared" si="163"/>
        <v>0.26384069913487246</v>
      </c>
      <c r="AJ81" s="12">
        <f>AD81*(1.05)^26</f>
        <v>0.72428225752801434</v>
      </c>
      <c r="AK81" s="3"/>
      <c r="AL81" s="6" t="s">
        <v>54</v>
      </c>
      <c r="AM81" s="11">
        <f>AM46*($C$18/$C$21)/$D$21</f>
        <v>0.37323255813953493</v>
      </c>
      <c r="AN81" s="11">
        <f>AM81*(1.01)^6</f>
        <v>0.39619388132547567</v>
      </c>
      <c r="AO81" s="11">
        <f t="shared" si="136"/>
        <v>0.50016732410210762</v>
      </c>
      <c r="AP81" s="11">
        <f t="shared" si="137"/>
        <v>0.43764452726466152</v>
      </c>
      <c r="AQ81" s="11">
        <f t="shared" si="138"/>
        <v>0.8147198667195743</v>
      </c>
      <c r="AR81" s="11">
        <f t="shared" si="139"/>
        <v>0.48343182788167233</v>
      </c>
      <c r="AS81" s="12">
        <f t="shared" si="140"/>
        <v>1.3270928132283479</v>
      </c>
      <c r="AU81" s="6" t="s">
        <v>54</v>
      </c>
      <c r="AV81" s="11">
        <f>AV46*($C$18/$C$21)/$D$21</f>
        <v>0.11172093023255816</v>
      </c>
      <c r="AW81" s="11">
        <f>AV81*(1.01)^6</f>
        <v>0.11859401868574897</v>
      </c>
      <c r="AX81" s="11">
        <f t="shared" si="167"/>
        <v>0.14971673157122095</v>
      </c>
      <c r="AY81" s="11">
        <f t="shared" si="168"/>
        <v>0.13100157698170814</v>
      </c>
      <c r="AZ81" s="11">
        <f t="shared" si="169"/>
        <v>0.24387277959504239</v>
      </c>
      <c r="BA81" s="11">
        <f t="shared" si="170"/>
        <v>0.14470724039775401</v>
      </c>
      <c r="BB81" s="12">
        <f>AV81*(1.05)^26</f>
        <v>0.39724306029964385</v>
      </c>
      <c r="BD81" s="6" t="s">
        <v>54</v>
      </c>
      <c r="BE81" s="11">
        <f>BE46*($C$18/$C$21)/$D$21</f>
        <v>0.1561279069767442</v>
      </c>
      <c r="BF81" s="11">
        <f>BE81*(1.01)^6</f>
        <v>0.16573291932697243</v>
      </c>
      <c r="BG81" s="11">
        <f t="shared" si="173"/>
        <v>0.20922632751944042</v>
      </c>
      <c r="BH81" s="11">
        <f t="shared" si="174"/>
        <v>0.18307224959756402</v>
      </c>
      <c r="BI81" s="11">
        <f t="shared" si="175"/>
        <v>0.3408076406767937</v>
      </c>
      <c r="BJ81" s="11">
        <f t="shared" si="176"/>
        <v>0.20222565745427173</v>
      </c>
      <c r="BK81" s="12">
        <f>BE81*(1.05)^26</f>
        <v>0.55513973466312627</v>
      </c>
      <c r="BM81" s="6" t="s">
        <v>54</v>
      </c>
      <c r="BN81" s="11">
        <f>BN46*($C$18/$C$21)/$D$21</f>
        <v>0.26784883720930236</v>
      </c>
      <c r="BO81" s="11">
        <f>BN81*(1.01)^6</f>
        <v>0.28432693801272141</v>
      </c>
      <c r="BP81" s="11">
        <f t="shared" si="179"/>
        <v>0.35894305909066138</v>
      </c>
      <c r="BQ81" s="11">
        <f t="shared" si="180"/>
        <v>0.31407382657927213</v>
      </c>
      <c r="BR81" s="11">
        <f t="shared" si="181"/>
        <v>0.58468042027183609</v>
      </c>
      <c r="BS81" s="11">
        <f t="shared" si="182"/>
        <v>0.34693289785202575</v>
      </c>
      <c r="BT81" s="12">
        <f>BN81*(1.05)^26</f>
        <v>0.95238279496277012</v>
      </c>
    </row>
    <row r="82" spans="2:72" ht="15.75" thickBot="1" x14ac:dyDescent="0.3">
      <c r="L82" s="3"/>
      <c r="M82" s="3"/>
      <c r="N82" s="3"/>
      <c r="O82" s="3"/>
      <c r="P82" s="3"/>
      <c r="Q82" s="3"/>
      <c r="R82" s="3"/>
      <c r="U82" s="3"/>
      <c r="V82" s="3"/>
      <c r="W82" s="3"/>
      <c r="X82" s="3"/>
      <c r="Y82" s="3"/>
      <c r="Z82" s="3"/>
      <c r="AA82" s="3"/>
      <c r="AD82" s="3"/>
      <c r="AE82" s="3"/>
      <c r="AF82" s="3"/>
      <c r="AG82" s="3"/>
      <c r="AH82" s="3"/>
      <c r="AI82" s="3"/>
      <c r="AJ82" s="3"/>
      <c r="AK82" s="3"/>
      <c r="AM82" s="3"/>
      <c r="AN82" s="3"/>
      <c r="AO82" s="3"/>
      <c r="AP82" s="3"/>
      <c r="AQ82" s="3"/>
      <c r="AR82" s="3"/>
      <c r="AS82" s="3"/>
      <c r="AV82" s="3"/>
      <c r="AW82" s="3"/>
      <c r="AX82" s="3"/>
      <c r="AY82" s="3"/>
      <c r="AZ82" s="3"/>
      <c r="BA82" s="3"/>
      <c r="BB82" s="3"/>
      <c r="BE82" s="3"/>
      <c r="BF82" s="3"/>
      <c r="BG82" s="3"/>
      <c r="BH82" s="3"/>
      <c r="BI82" s="3"/>
      <c r="BJ82" s="3"/>
      <c r="BK82" s="3"/>
      <c r="BN82" s="3"/>
      <c r="BO82" s="3"/>
      <c r="BP82" s="3"/>
      <c r="BQ82" s="3"/>
      <c r="BR82" s="3"/>
      <c r="BS82" s="3"/>
      <c r="BT82" s="3"/>
    </row>
    <row r="83" spans="2:72" ht="15.75" thickBot="1" x14ac:dyDescent="0.3">
      <c r="B83" s="34" t="s">
        <v>60</v>
      </c>
      <c r="C83" s="35"/>
      <c r="D83" s="35"/>
      <c r="E83" s="35"/>
      <c r="F83" s="35"/>
      <c r="G83" s="35"/>
      <c r="H83" s="35"/>
      <c r="I83" s="36"/>
      <c r="K83" s="49" t="s">
        <v>60</v>
      </c>
      <c r="L83" s="50"/>
      <c r="M83" s="50"/>
      <c r="N83" s="50"/>
      <c r="O83" s="50"/>
      <c r="P83" s="50"/>
      <c r="Q83" s="50"/>
      <c r="R83" s="51"/>
      <c r="T83" s="52" t="s">
        <v>60</v>
      </c>
      <c r="U83" s="53"/>
      <c r="V83" s="53"/>
      <c r="W83" s="53"/>
      <c r="X83" s="53"/>
      <c r="Y83" s="53"/>
      <c r="Z83" s="53"/>
      <c r="AA83" s="54"/>
      <c r="AC83" s="52" t="s">
        <v>60</v>
      </c>
      <c r="AD83" s="53"/>
      <c r="AE83" s="53"/>
      <c r="AF83" s="53"/>
      <c r="AG83" s="53"/>
      <c r="AH83" s="53"/>
      <c r="AI83" s="53"/>
      <c r="AJ83" s="54"/>
      <c r="AK83" s="3"/>
      <c r="AL83" s="52" t="s">
        <v>60</v>
      </c>
      <c r="AM83" s="53"/>
      <c r="AN83" s="53"/>
      <c r="AO83" s="53"/>
      <c r="AP83" s="53"/>
      <c r="AQ83" s="53"/>
      <c r="AR83" s="53"/>
      <c r="AS83" s="54"/>
      <c r="AU83" s="45" t="s">
        <v>60</v>
      </c>
      <c r="AV83" s="46"/>
      <c r="AW83" s="46"/>
      <c r="AX83" s="46"/>
      <c r="AY83" s="46"/>
      <c r="AZ83" s="46"/>
      <c r="BA83" s="46"/>
      <c r="BB83" s="47"/>
      <c r="BD83" s="45" t="s">
        <v>60</v>
      </c>
      <c r="BE83" s="46"/>
      <c r="BF83" s="46"/>
      <c r="BG83" s="46"/>
      <c r="BH83" s="46"/>
      <c r="BI83" s="46"/>
      <c r="BJ83" s="46"/>
      <c r="BK83" s="47"/>
      <c r="BM83" s="45" t="s">
        <v>60</v>
      </c>
      <c r="BN83" s="46"/>
      <c r="BO83" s="46"/>
      <c r="BP83" s="46"/>
      <c r="BQ83" s="46"/>
      <c r="BR83" s="46"/>
      <c r="BS83" s="46"/>
      <c r="BT83" s="47"/>
    </row>
    <row r="84" spans="2:72" x14ac:dyDescent="0.25">
      <c r="B84" s="7" t="s">
        <v>44</v>
      </c>
      <c r="C84" s="325" t="s">
        <v>57</v>
      </c>
      <c r="D84" s="325"/>
      <c r="E84" s="325"/>
      <c r="F84" s="325"/>
      <c r="G84" s="325"/>
      <c r="H84" s="325"/>
      <c r="I84" s="326"/>
      <c r="K84" s="7" t="s">
        <v>44</v>
      </c>
      <c r="L84" s="325" t="s">
        <v>57</v>
      </c>
      <c r="M84" s="325"/>
      <c r="N84" s="325"/>
      <c r="O84" s="325"/>
      <c r="P84" s="325"/>
      <c r="Q84" s="325"/>
      <c r="R84" s="326"/>
      <c r="T84" s="7" t="s">
        <v>44</v>
      </c>
      <c r="U84" s="325" t="s">
        <v>57</v>
      </c>
      <c r="V84" s="325"/>
      <c r="W84" s="325"/>
      <c r="X84" s="325"/>
      <c r="Y84" s="325"/>
      <c r="Z84" s="325"/>
      <c r="AA84" s="326"/>
      <c r="AC84" s="7" t="s">
        <v>44</v>
      </c>
      <c r="AD84" s="325" t="s">
        <v>57</v>
      </c>
      <c r="AE84" s="325"/>
      <c r="AF84" s="325"/>
      <c r="AG84" s="325"/>
      <c r="AH84" s="325"/>
      <c r="AI84" s="325"/>
      <c r="AJ84" s="326"/>
      <c r="AK84" s="3"/>
      <c r="AL84" s="7" t="s">
        <v>44</v>
      </c>
      <c r="AM84" s="325" t="s">
        <v>57</v>
      </c>
      <c r="AN84" s="325"/>
      <c r="AO84" s="325"/>
      <c r="AP84" s="325"/>
      <c r="AQ84" s="325"/>
      <c r="AR84" s="325"/>
      <c r="AS84" s="326"/>
      <c r="AU84" s="7" t="s">
        <v>44</v>
      </c>
      <c r="AV84" s="325" t="s">
        <v>57</v>
      </c>
      <c r="AW84" s="325"/>
      <c r="AX84" s="325"/>
      <c r="AY84" s="325"/>
      <c r="AZ84" s="325"/>
      <c r="BA84" s="325"/>
      <c r="BB84" s="326"/>
      <c r="BD84" s="7" t="s">
        <v>44</v>
      </c>
      <c r="BE84" s="325" t="s">
        <v>57</v>
      </c>
      <c r="BF84" s="325"/>
      <c r="BG84" s="325"/>
      <c r="BH84" s="325"/>
      <c r="BI84" s="325"/>
      <c r="BJ84" s="325"/>
      <c r="BK84" s="326"/>
      <c r="BM84" s="7" t="s">
        <v>44</v>
      </c>
      <c r="BN84" s="325" t="s">
        <v>57</v>
      </c>
      <c r="BO84" s="325"/>
      <c r="BP84" s="325"/>
      <c r="BQ84" s="325"/>
      <c r="BR84" s="325"/>
      <c r="BS84" s="325"/>
      <c r="BT84" s="326"/>
    </row>
    <row r="85" spans="2:72" x14ac:dyDescent="0.25">
      <c r="B85" s="5"/>
      <c r="C85" s="3" t="s">
        <v>46</v>
      </c>
      <c r="I85" s="10"/>
      <c r="K85" s="5"/>
      <c r="L85" s="3" t="s">
        <v>46</v>
      </c>
      <c r="M85" s="3"/>
      <c r="N85" s="3"/>
      <c r="O85" s="3"/>
      <c r="P85" s="3"/>
      <c r="Q85" s="3"/>
      <c r="R85" s="10"/>
      <c r="T85" s="5"/>
      <c r="U85" s="3" t="s">
        <v>46</v>
      </c>
      <c r="V85" s="3"/>
      <c r="W85" s="3"/>
      <c r="X85" s="3"/>
      <c r="Y85" s="3"/>
      <c r="Z85" s="3"/>
      <c r="AA85" s="10"/>
      <c r="AC85" s="5"/>
      <c r="AD85" s="3" t="s">
        <v>46</v>
      </c>
      <c r="AE85" s="3"/>
      <c r="AF85" s="3"/>
      <c r="AG85" s="3"/>
      <c r="AH85" s="3"/>
      <c r="AI85" s="3"/>
      <c r="AJ85" s="10"/>
      <c r="AK85" s="3"/>
      <c r="AL85" s="5"/>
      <c r="AM85" s="3" t="s">
        <v>46</v>
      </c>
      <c r="AN85" s="3"/>
      <c r="AO85" s="3"/>
      <c r="AP85" s="3"/>
      <c r="AQ85" s="3"/>
      <c r="AR85" s="3"/>
      <c r="AS85" s="10"/>
      <c r="AU85" s="5"/>
      <c r="AV85" s="3" t="s">
        <v>46</v>
      </c>
      <c r="AW85" s="3"/>
      <c r="AX85" s="3"/>
      <c r="AY85" s="3"/>
      <c r="AZ85" s="3"/>
      <c r="BA85" s="3"/>
      <c r="BB85" s="10"/>
      <c r="BD85" s="5"/>
      <c r="BE85" s="3" t="s">
        <v>46</v>
      </c>
      <c r="BF85" s="3"/>
      <c r="BG85" s="3"/>
      <c r="BH85" s="3"/>
      <c r="BI85" s="3"/>
      <c r="BJ85" s="3"/>
      <c r="BK85" s="10"/>
      <c r="BM85" s="5"/>
      <c r="BN85" s="3" t="s">
        <v>46</v>
      </c>
      <c r="BO85" s="3"/>
      <c r="BP85" s="3"/>
      <c r="BQ85" s="3"/>
      <c r="BR85" s="3"/>
      <c r="BS85" s="3"/>
      <c r="BT85" s="10"/>
    </row>
    <row r="86" spans="2:72" ht="15.75" thickBot="1" x14ac:dyDescent="0.3">
      <c r="B86" s="6"/>
      <c r="C86" s="11"/>
      <c r="D86" s="11" t="s">
        <v>47</v>
      </c>
      <c r="E86" s="11" t="s">
        <v>48</v>
      </c>
      <c r="F86" s="11" t="s">
        <v>47</v>
      </c>
      <c r="G86" s="11" t="s">
        <v>48</v>
      </c>
      <c r="H86" s="11" t="s">
        <v>47</v>
      </c>
      <c r="I86" s="12" t="s">
        <v>48</v>
      </c>
      <c r="K86" s="6"/>
      <c r="L86" s="11"/>
      <c r="M86" s="11" t="s">
        <v>47</v>
      </c>
      <c r="N86" s="11" t="s">
        <v>48</v>
      </c>
      <c r="O86" s="11" t="s">
        <v>47</v>
      </c>
      <c r="P86" s="11" t="s">
        <v>48</v>
      </c>
      <c r="Q86" s="11" t="s">
        <v>47</v>
      </c>
      <c r="R86" s="12" t="s">
        <v>48</v>
      </c>
      <c r="T86" s="6"/>
      <c r="U86" s="11"/>
      <c r="V86" s="11" t="s">
        <v>47</v>
      </c>
      <c r="W86" s="11" t="s">
        <v>48</v>
      </c>
      <c r="X86" s="11" t="s">
        <v>47</v>
      </c>
      <c r="Y86" s="11" t="s">
        <v>48</v>
      </c>
      <c r="Z86" s="11" t="s">
        <v>47</v>
      </c>
      <c r="AA86" s="12" t="s">
        <v>48</v>
      </c>
      <c r="AC86" s="6"/>
      <c r="AD86" s="11"/>
      <c r="AE86" s="11" t="s">
        <v>47</v>
      </c>
      <c r="AF86" s="11" t="s">
        <v>48</v>
      </c>
      <c r="AG86" s="11" t="s">
        <v>47</v>
      </c>
      <c r="AH86" s="11" t="s">
        <v>48</v>
      </c>
      <c r="AI86" s="11" t="s">
        <v>47</v>
      </c>
      <c r="AJ86" s="12" t="s">
        <v>48</v>
      </c>
      <c r="AK86" s="3"/>
      <c r="AL86" s="6"/>
      <c r="AM86" s="11"/>
      <c r="AN86" s="11" t="s">
        <v>47</v>
      </c>
      <c r="AO86" s="11" t="s">
        <v>48</v>
      </c>
      <c r="AP86" s="11" t="s">
        <v>47</v>
      </c>
      <c r="AQ86" s="11" t="s">
        <v>48</v>
      </c>
      <c r="AR86" s="11" t="s">
        <v>47</v>
      </c>
      <c r="AS86" s="12" t="s">
        <v>48</v>
      </c>
      <c r="AU86" s="6"/>
      <c r="AV86" s="11"/>
      <c r="AW86" s="11" t="s">
        <v>47</v>
      </c>
      <c r="AX86" s="11" t="s">
        <v>48</v>
      </c>
      <c r="AY86" s="11" t="s">
        <v>47</v>
      </c>
      <c r="AZ86" s="11" t="s">
        <v>48</v>
      </c>
      <c r="BA86" s="11" t="s">
        <v>47</v>
      </c>
      <c r="BB86" s="12" t="s">
        <v>48</v>
      </c>
      <c r="BD86" s="6"/>
      <c r="BE86" s="11"/>
      <c r="BF86" s="11" t="s">
        <v>47</v>
      </c>
      <c r="BG86" s="11" t="s">
        <v>48</v>
      </c>
      <c r="BH86" s="11" t="s">
        <v>47</v>
      </c>
      <c r="BI86" s="11" t="s">
        <v>48</v>
      </c>
      <c r="BJ86" s="11" t="s">
        <v>47</v>
      </c>
      <c r="BK86" s="12" t="s">
        <v>48</v>
      </c>
      <c r="BM86" s="6"/>
      <c r="BN86" s="11"/>
      <c r="BO86" s="11" t="s">
        <v>47</v>
      </c>
      <c r="BP86" s="11" t="s">
        <v>48</v>
      </c>
      <c r="BQ86" s="11" t="s">
        <v>47</v>
      </c>
      <c r="BR86" s="11" t="s">
        <v>48</v>
      </c>
      <c r="BS86" s="11" t="s">
        <v>47</v>
      </c>
      <c r="BT86" s="12" t="s">
        <v>48</v>
      </c>
    </row>
    <row r="87" spans="2:72" x14ac:dyDescent="0.25">
      <c r="B87" s="5" t="s">
        <v>49</v>
      </c>
      <c r="C87" s="3">
        <f>C92*0.05</f>
        <v>9.5003957627118663E-2</v>
      </c>
      <c r="D87" s="3">
        <f>C87*(1.01)^6</f>
        <v>0.10084861540803004</v>
      </c>
      <c r="E87" s="3">
        <f>C87*(1.05)^6</f>
        <v>0.12731438945822393</v>
      </c>
      <c r="F87" s="3">
        <f>C87*(1.01)^16</f>
        <v>0.1113996118967953</v>
      </c>
      <c r="G87" s="3">
        <f>C87*(1.05)^16</f>
        <v>0.20738172489995155</v>
      </c>
      <c r="H87" s="3">
        <f>C87*(1.01)^26</f>
        <v>0.12305447606342136</v>
      </c>
      <c r="I87" s="10">
        <f>C87*(1.05)^26</f>
        <v>0.33780297738136866</v>
      </c>
      <c r="K87" s="5" t="s">
        <v>49</v>
      </c>
      <c r="L87" s="3">
        <f>L92*0.05</f>
        <v>5.0537241525423729E-2</v>
      </c>
      <c r="M87" s="3">
        <f>L87*(1.01)^6</f>
        <v>5.3646300235026916E-2</v>
      </c>
      <c r="N87" s="3">
        <f>L87*(1.05)^6</f>
        <v>6.7724737057433065E-2</v>
      </c>
      <c r="O87" s="3">
        <f>L87*(1.01)^16</f>
        <v>5.9258890186063035E-2</v>
      </c>
      <c r="P87" s="3">
        <f>L87*(1.05)^16</f>
        <v>0.1103164602927678</v>
      </c>
      <c r="Q87" s="3">
        <f>L87*(1.01)^26</f>
        <v>6.5458681226838136E-2</v>
      </c>
      <c r="R87" s="10">
        <f>L87*(1.05)^26</f>
        <v>0.17969388941599648</v>
      </c>
      <c r="T87" s="5" t="s">
        <v>49</v>
      </c>
      <c r="U87" s="3">
        <f>U92*0.05</f>
        <v>4.2782415254237292E-3</v>
      </c>
      <c r="V87" s="3">
        <f>U87*(1.01)^6</f>
        <v>4.5414395883752491E-3</v>
      </c>
      <c r="W87" s="3">
        <f>U87*(1.05)^6</f>
        <v>5.7332528177611898E-3</v>
      </c>
      <c r="X87" s="3">
        <f>U87*(1.01)^16</f>
        <v>5.0165746505376543E-3</v>
      </c>
      <c r="Y87" s="3">
        <f>U87*(1.05)^16</f>
        <v>9.3388647088078289E-3</v>
      </c>
      <c r="Z87" s="3">
        <f>U87*(1.01)^26</f>
        <v>5.5414193527608758E-3</v>
      </c>
      <c r="AA87" s="10">
        <f>U87*(1.05)^26</f>
        <v>1.5212026544378549E-2</v>
      </c>
      <c r="AC87" s="5" t="s">
        <v>49</v>
      </c>
      <c r="AD87" s="3">
        <f>AD92*0.05</f>
        <v>5.140345338983051E-3</v>
      </c>
      <c r="AE87" s="3">
        <f>AD87*(1.01)^6</f>
        <v>5.456580158378437E-3</v>
      </c>
      <c r="AF87" s="3">
        <f>AD87*(1.05)^6</f>
        <v>6.888554380078224E-3</v>
      </c>
      <c r="AG87" s="3">
        <f>AD87*(1.01)^16</f>
        <v>6.0274591720245966E-3</v>
      </c>
      <c r="AH87" s="3">
        <f>AD87*(1.05)^16</f>
        <v>1.122072921597363E-2</v>
      </c>
      <c r="AI87" s="3">
        <f>AD87*(1.01)^26</f>
        <v>6.658064761431071E-3</v>
      </c>
      <c r="AJ87" s="10">
        <f>AD87*(1.05)^26</f>
        <v>1.8277385528424103E-2</v>
      </c>
      <c r="AK87" s="3"/>
      <c r="AL87" s="5" t="s">
        <v>49</v>
      </c>
      <c r="AM87" s="3">
        <f>AM92*0.05</f>
        <v>9.4185868644067819E-3</v>
      </c>
      <c r="AN87" s="3">
        <f>AM87*(1.01)^6</f>
        <v>9.9980197467536887E-3</v>
      </c>
      <c r="AO87" s="3">
        <f t="shared" ref="AO87:AO92" si="184">AM87*(1.05)^6</f>
        <v>1.2621807197839416E-2</v>
      </c>
      <c r="AP87" s="3">
        <f t="shared" ref="AP87:AP92" si="185">AM87*(1.01)^16</f>
        <v>1.1044033822562253E-2</v>
      </c>
      <c r="AQ87" s="3">
        <f t="shared" ref="AQ87:AQ92" si="186">AM87*(1.05)^16</f>
        <v>2.0559593924781464E-2</v>
      </c>
      <c r="AR87" s="3">
        <f t="shared" ref="AR87:AR92" si="187">AM87*(1.01)^26</f>
        <v>1.2199484114191949E-2</v>
      </c>
      <c r="AS87" s="10">
        <f t="shared" ref="AS87:AS92" si="188">AM87*(1.05)^26</f>
        <v>3.3489412072802656E-2</v>
      </c>
      <c r="AU87" s="5" t="s">
        <v>49</v>
      </c>
      <c r="AV87" s="3">
        <f>AV92*0.05</f>
        <v>2.819296610169492E-3</v>
      </c>
      <c r="AW87" s="3">
        <f>AV87*(1.01)^6</f>
        <v>2.9927401622160082E-3</v>
      </c>
      <c r="AX87" s="3">
        <f>AV87*(1.05)^6</f>
        <v>3.7781270969169762E-3</v>
      </c>
      <c r="AY87" s="3">
        <f>AV87*(1.01)^16</f>
        <v>3.3058469987905202E-3</v>
      </c>
      <c r="AZ87" s="3">
        <f>AV87*(1.05)^16</f>
        <v>6.1541709274503175E-3</v>
      </c>
      <c r="BA87" s="3">
        <f>AV87*(1.01)^26</f>
        <v>3.651711738088237E-3</v>
      </c>
      <c r="BB87" s="10">
        <f>AV87*(1.05)^26</f>
        <v>1.0024495955993766E-2</v>
      </c>
      <c r="BD87" s="5" t="s">
        <v>49</v>
      </c>
      <c r="BE87" s="3">
        <f>BE92*0.05</f>
        <v>3.9399141949152542E-3</v>
      </c>
      <c r="BF87" s="3">
        <f>BE87*(1.01)^6</f>
        <v>4.1822983095414585E-3</v>
      </c>
      <c r="BG87" s="3">
        <f>BE87*(1.05)^6</f>
        <v>5.2798618370424885E-3</v>
      </c>
      <c r="BH87" s="3">
        <f>BE87*(1.01)^16</f>
        <v>4.6198592477893746E-3</v>
      </c>
      <c r="BI87" s="3">
        <f>BE87*(1.05)^16</f>
        <v>8.6003385764857818E-3</v>
      </c>
      <c r="BJ87" s="3">
        <f>BE87*(1.01)^26</f>
        <v>5.1031987413937083E-3</v>
      </c>
      <c r="BK87" s="10">
        <f>BE87*(1.05)^26</f>
        <v>1.4009045295704441E-2</v>
      </c>
      <c r="BM87" s="5" t="s">
        <v>49</v>
      </c>
      <c r="BN87" s="3">
        <f>BN92*0.05</f>
        <v>6.7592108050847453E-3</v>
      </c>
      <c r="BO87" s="3">
        <f>BN87*(1.01)^6</f>
        <v>7.1750384717574663E-3</v>
      </c>
      <c r="BP87" s="3">
        <f>BN87*(1.05)^6</f>
        <v>9.057988933959463E-3</v>
      </c>
      <c r="BQ87" s="3">
        <f>BN87*(1.01)^16</f>
        <v>7.925706246579893E-3</v>
      </c>
      <c r="BR87" s="3">
        <f>BN87*(1.05)^16</f>
        <v>1.4754509503936098E-2</v>
      </c>
      <c r="BS87" s="3">
        <f>BN87*(1.01)^26</f>
        <v>8.7549104794819449E-3</v>
      </c>
      <c r="BT87" s="10">
        <f>BN87*(1.05)^26</f>
        <v>2.4033541251698206E-2</v>
      </c>
    </row>
    <row r="88" spans="2:72" x14ac:dyDescent="0.25">
      <c r="B88" s="5" t="s">
        <v>50</v>
      </c>
      <c r="C88" s="3">
        <f>C92*0.1</f>
        <v>0.19000791525423733</v>
      </c>
      <c r="D88" s="3">
        <f t="shared" ref="D88:D91" si="189">C88*(1.01)^6</f>
        <v>0.20169723081606009</v>
      </c>
      <c r="E88" s="3">
        <f t="shared" ref="E88:E92" si="190">C88*(1.05)^6</f>
        <v>0.25462877891644786</v>
      </c>
      <c r="F88" s="3">
        <f t="shared" ref="F88:F92" si="191">C88*(1.01)^16</f>
        <v>0.2227992237935906</v>
      </c>
      <c r="G88" s="3">
        <f t="shared" ref="G88:G92" si="192">C88*(1.05)^16</f>
        <v>0.41476344979990309</v>
      </c>
      <c r="H88" s="3">
        <f t="shared" ref="H88:H92" si="193">C88*(1.01)^26</f>
        <v>0.24610895212684272</v>
      </c>
      <c r="I88" s="10">
        <f t="shared" ref="I88:I91" si="194">C88*(1.05)^26</f>
        <v>0.67560595476273733</v>
      </c>
      <c r="K88" s="5" t="s">
        <v>50</v>
      </c>
      <c r="L88" s="3">
        <f>L92*0.1</f>
        <v>0.10107448305084746</v>
      </c>
      <c r="M88" s="3">
        <f t="shared" ref="M88:M91" si="195">L88*(1.01)^6</f>
        <v>0.10729260047005383</v>
      </c>
      <c r="N88" s="3">
        <f t="shared" ref="N88:N92" si="196">L88*(1.05)^6</f>
        <v>0.13544947411486613</v>
      </c>
      <c r="O88" s="3">
        <f t="shared" ref="O88:O92" si="197">L88*(1.01)^16</f>
        <v>0.11851778037212607</v>
      </c>
      <c r="P88" s="3">
        <f t="shared" ref="P88:P92" si="198">L88*(1.05)^16</f>
        <v>0.2206329205855356</v>
      </c>
      <c r="Q88" s="3">
        <f t="shared" ref="Q88:Q92" si="199">L88*(1.01)^26</f>
        <v>0.13091736245367627</v>
      </c>
      <c r="R88" s="10">
        <f t="shared" ref="R88:R91" si="200">L88*(1.05)^26</f>
        <v>0.35938777883199297</v>
      </c>
      <c r="T88" s="5" t="s">
        <v>50</v>
      </c>
      <c r="U88" s="3">
        <f>U92*0.1</f>
        <v>8.5564830508474583E-3</v>
      </c>
      <c r="V88" s="3">
        <f t="shared" ref="V88:V91" si="201">U88*(1.01)^6</f>
        <v>9.0828791767504982E-3</v>
      </c>
      <c r="W88" s="3">
        <f t="shared" ref="W88:W92" si="202">U88*(1.05)^6</f>
        <v>1.146650563552238E-2</v>
      </c>
      <c r="X88" s="3">
        <f t="shared" ref="X88:X92" si="203">U88*(1.01)^16</f>
        <v>1.0033149301075309E-2</v>
      </c>
      <c r="Y88" s="3">
        <f t="shared" ref="Y88:Y92" si="204">U88*(1.05)^16</f>
        <v>1.8677729417615658E-2</v>
      </c>
      <c r="Z88" s="3">
        <f t="shared" ref="Z88:Z92" si="205">U88*(1.01)^26</f>
        <v>1.1082838705521752E-2</v>
      </c>
      <c r="AA88" s="10">
        <f t="shared" ref="AA88:AA91" si="206">U88*(1.05)^26</f>
        <v>3.0424053088757098E-2</v>
      </c>
      <c r="AC88" s="5" t="s">
        <v>50</v>
      </c>
      <c r="AD88" s="3">
        <f>AD92*0.1</f>
        <v>1.0280690677966102E-2</v>
      </c>
      <c r="AE88" s="3">
        <f t="shared" ref="AE88:AE91" si="207">AD88*(1.01)^6</f>
        <v>1.0913160316756874E-2</v>
      </c>
      <c r="AF88" s="3">
        <f t="shared" ref="AF88:AF92" si="208">AD88*(1.05)^6</f>
        <v>1.3777108760156448E-2</v>
      </c>
      <c r="AG88" s="3">
        <f t="shared" ref="AG88:AG92" si="209">AD88*(1.01)^16</f>
        <v>1.2054918344049193E-2</v>
      </c>
      <c r="AH88" s="3">
        <f t="shared" ref="AH88:AH92" si="210">AD88*(1.05)^16</f>
        <v>2.244145843194726E-2</v>
      </c>
      <c r="AI88" s="3">
        <f t="shared" ref="AI88:AI92" si="211">AD88*(1.01)^26</f>
        <v>1.3316129522862142E-2</v>
      </c>
      <c r="AJ88" s="10">
        <f t="shared" ref="AJ88:AJ91" si="212">AD88*(1.05)^26</f>
        <v>3.6554771056848206E-2</v>
      </c>
      <c r="AK88" s="3"/>
      <c r="AL88" s="5" t="s">
        <v>50</v>
      </c>
      <c r="AM88" s="3">
        <f>AM92*0.1</f>
        <v>1.8837173728813564E-2</v>
      </c>
      <c r="AN88" s="3">
        <f t="shared" ref="AN88:AN91" si="213">AM88*(1.01)^6</f>
        <v>1.9996039493507377E-2</v>
      </c>
      <c r="AO88" s="3">
        <f t="shared" si="184"/>
        <v>2.5243614395678831E-2</v>
      </c>
      <c r="AP88" s="3">
        <f t="shared" si="185"/>
        <v>2.2088067645124505E-2</v>
      </c>
      <c r="AQ88" s="3">
        <f t="shared" si="186"/>
        <v>4.1119187849562928E-2</v>
      </c>
      <c r="AR88" s="3">
        <f t="shared" si="187"/>
        <v>2.4398968228383899E-2</v>
      </c>
      <c r="AS88" s="10">
        <f t="shared" si="188"/>
        <v>6.6978824145605312E-2</v>
      </c>
      <c r="AU88" s="5" t="s">
        <v>50</v>
      </c>
      <c r="AV88" s="3">
        <f>AV92*0.1</f>
        <v>5.6385932203389839E-3</v>
      </c>
      <c r="AW88" s="3">
        <f t="shared" ref="AW88:AW91" si="214">AV88*(1.01)^6</f>
        <v>5.9854803244320165E-3</v>
      </c>
      <c r="AX88" s="3">
        <f t="shared" ref="AX88:AX92" si="215">AV88*(1.05)^6</f>
        <v>7.5562541938339525E-3</v>
      </c>
      <c r="AY88" s="3">
        <f t="shared" ref="AY88:AY92" si="216">AV88*(1.01)^16</f>
        <v>6.6116939975810404E-3</v>
      </c>
      <c r="AZ88" s="3">
        <f t="shared" ref="AZ88:AZ92" si="217">AV88*(1.05)^16</f>
        <v>1.2308341854900635E-2</v>
      </c>
      <c r="BA88" s="3">
        <f t="shared" ref="BA88:BA92" si="218">AV88*(1.01)^26</f>
        <v>7.303423476176474E-3</v>
      </c>
      <c r="BB88" s="10">
        <f t="shared" ref="BB88:BB91" si="219">AV88*(1.05)^26</f>
        <v>2.0048991911987533E-2</v>
      </c>
      <c r="BD88" s="5" t="s">
        <v>50</v>
      </c>
      <c r="BE88" s="3">
        <f>BE92*0.1</f>
        <v>7.8798283898305083E-3</v>
      </c>
      <c r="BF88" s="3">
        <f t="shared" ref="BF88:BF91" si="220">BE88*(1.01)^6</f>
        <v>8.3645966190829171E-3</v>
      </c>
      <c r="BG88" s="3">
        <f t="shared" ref="BG88:BG92" si="221">BE88*(1.05)^6</f>
        <v>1.0559723674084977E-2</v>
      </c>
      <c r="BH88" s="3">
        <f t="shared" ref="BH88:BH92" si="222">BE88*(1.01)^16</f>
        <v>9.2397184955787491E-3</v>
      </c>
      <c r="BI88" s="3">
        <f t="shared" ref="BI88:BI92" si="223">BE88*(1.05)^16</f>
        <v>1.7200677152971564E-2</v>
      </c>
      <c r="BJ88" s="3">
        <f t="shared" ref="BJ88:BJ92" si="224">BE88*(1.01)^26</f>
        <v>1.0206397482787417E-2</v>
      </c>
      <c r="BK88" s="10">
        <f t="shared" ref="BK88:BK91" si="225">BE88*(1.05)^26</f>
        <v>2.8018090591408883E-2</v>
      </c>
      <c r="BM88" s="5" t="s">
        <v>50</v>
      </c>
      <c r="BN88" s="3">
        <f>BN92*0.1</f>
        <v>1.3518421610169491E-2</v>
      </c>
      <c r="BO88" s="3">
        <f t="shared" ref="BO88:BO91" si="226">BN88*(1.01)^6</f>
        <v>1.4350076943514933E-2</v>
      </c>
      <c r="BP88" s="3">
        <f t="shared" ref="BP88:BP92" si="227">BN88*(1.05)^6</f>
        <v>1.8115977867918926E-2</v>
      </c>
      <c r="BQ88" s="3">
        <f t="shared" ref="BQ88:BQ92" si="228">BN88*(1.01)^16</f>
        <v>1.5851412493159786E-2</v>
      </c>
      <c r="BR88" s="3">
        <f t="shared" ref="BR88:BR92" si="229">BN88*(1.05)^16</f>
        <v>2.9509019007872197E-2</v>
      </c>
      <c r="BS88" s="3">
        <f t="shared" ref="BS88:BS92" si="230">BN88*(1.01)^26</f>
        <v>1.750982095896389E-2</v>
      </c>
      <c r="BT88" s="10">
        <f t="shared" ref="BT88:BT91" si="231">BN88*(1.05)^26</f>
        <v>4.8067082503396412E-2</v>
      </c>
    </row>
    <row r="89" spans="2:72" x14ac:dyDescent="0.25">
      <c r="B89" s="5" t="s">
        <v>51</v>
      </c>
      <c r="C89" s="3">
        <f>C92*0.25</f>
        <v>0.47501978813559326</v>
      </c>
      <c r="D89" s="3">
        <f t="shared" si="189"/>
        <v>0.50424307704015014</v>
      </c>
      <c r="E89" s="3">
        <f t="shared" si="190"/>
        <v>0.63657194729111966</v>
      </c>
      <c r="F89" s="3">
        <f t="shared" si="191"/>
        <v>0.5569980594839764</v>
      </c>
      <c r="G89" s="3">
        <f t="shared" si="192"/>
        <v>1.0369086244997576</v>
      </c>
      <c r="H89" s="3">
        <f t="shared" si="193"/>
        <v>0.61527238031710674</v>
      </c>
      <c r="I89" s="10">
        <f t="shared" si="194"/>
        <v>1.6890148869068431</v>
      </c>
      <c r="K89" s="5" t="s">
        <v>51</v>
      </c>
      <c r="L89" s="3">
        <f>L92*0.25</f>
        <v>0.25268620762711863</v>
      </c>
      <c r="M89" s="3">
        <f t="shared" si="195"/>
        <v>0.26823150117513456</v>
      </c>
      <c r="N89" s="3">
        <f t="shared" si="196"/>
        <v>0.3386236852871653</v>
      </c>
      <c r="O89" s="3">
        <f t="shared" si="197"/>
        <v>0.29629445093031515</v>
      </c>
      <c r="P89" s="3">
        <f t="shared" si="198"/>
        <v>0.55158230146383902</v>
      </c>
      <c r="Q89" s="3">
        <f t="shared" si="199"/>
        <v>0.32729340613419067</v>
      </c>
      <c r="R89" s="10">
        <f t="shared" si="200"/>
        <v>0.89846944707998233</v>
      </c>
      <c r="T89" s="5" t="s">
        <v>51</v>
      </c>
      <c r="U89" s="3">
        <f>U92*0.25</f>
        <v>2.1391207627118644E-2</v>
      </c>
      <c r="V89" s="3">
        <f t="shared" si="201"/>
        <v>2.2707197941876246E-2</v>
      </c>
      <c r="W89" s="3">
        <f t="shared" si="202"/>
        <v>2.8666264088805946E-2</v>
      </c>
      <c r="X89" s="3">
        <f t="shared" si="203"/>
        <v>2.5082873252688268E-2</v>
      </c>
      <c r="Y89" s="3">
        <f t="shared" si="204"/>
        <v>4.6694323544039143E-2</v>
      </c>
      <c r="Z89" s="3">
        <f t="shared" si="205"/>
        <v>2.7707096763804374E-2</v>
      </c>
      <c r="AA89" s="10">
        <f t="shared" si="206"/>
        <v>7.6060132721892743E-2</v>
      </c>
      <c r="AC89" s="5" t="s">
        <v>51</v>
      </c>
      <c r="AD89" s="3">
        <f>AD92*0.25</f>
        <v>2.5701726694915255E-2</v>
      </c>
      <c r="AE89" s="3">
        <f t="shared" si="207"/>
        <v>2.7282900791892186E-2</v>
      </c>
      <c r="AF89" s="3">
        <f t="shared" si="208"/>
        <v>3.444277190039112E-2</v>
      </c>
      <c r="AG89" s="3">
        <f t="shared" si="209"/>
        <v>3.0137295860122985E-2</v>
      </c>
      <c r="AH89" s="3">
        <f t="shared" si="210"/>
        <v>5.6103646079868154E-2</v>
      </c>
      <c r="AI89" s="3">
        <f t="shared" si="211"/>
        <v>3.3290323807155353E-2</v>
      </c>
      <c r="AJ89" s="10">
        <f t="shared" si="212"/>
        <v>9.1386927642120516E-2</v>
      </c>
      <c r="AK89" s="3"/>
      <c r="AL89" s="5" t="s">
        <v>51</v>
      </c>
      <c r="AM89" s="3">
        <f>AM92*0.25</f>
        <v>4.7092934322033903E-2</v>
      </c>
      <c r="AN89" s="3">
        <f t="shared" si="213"/>
        <v>4.9990098733768439E-2</v>
      </c>
      <c r="AO89" s="3">
        <f t="shared" si="184"/>
        <v>6.3109035989197065E-2</v>
      </c>
      <c r="AP89" s="3">
        <f t="shared" si="185"/>
        <v>5.522016911281126E-2</v>
      </c>
      <c r="AQ89" s="3">
        <f t="shared" si="186"/>
        <v>0.1027979696239073</v>
      </c>
      <c r="AR89" s="3">
        <f t="shared" si="187"/>
        <v>6.0997420570959734E-2</v>
      </c>
      <c r="AS89" s="10">
        <f t="shared" si="188"/>
        <v>0.16744706036401327</v>
      </c>
      <c r="AU89" s="5" t="s">
        <v>51</v>
      </c>
      <c r="AV89" s="3">
        <f>AV92*0.25</f>
        <v>1.409648305084746E-2</v>
      </c>
      <c r="AW89" s="3">
        <f t="shared" si="214"/>
        <v>1.4963700811080042E-2</v>
      </c>
      <c r="AX89" s="3">
        <f t="shared" si="215"/>
        <v>1.8890635484584882E-2</v>
      </c>
      <c r="AY89" s="3">
        <f t="shared" si="216"/>
        <v>1.6529234993952601E-2</v>
      </c>
      <c r="AZ89" s="3">
        <f t="shared" si="217"/>
        <v>3.0770854637251589E-2</v>
      </c>
      <c r="BA89" s="3">
        <f t="shared" si="218"/>
        <v>1.8258558690441185E-2</v>
      </c>
      <c r="BB89" s="10">
        <f t="shared" si="219"/>
        <v>5.012247977996883E-2</v>
      </c>
      <c r="BD89" s="5" t="s">
        <v>51</v>
      </c>
      <c r="BE89" s="3">
        <f>BE92*0.25</f>
        <v>1.969957097457627E-2</v>
      </c>
      <c r="BF89" s="3">
        <f t="shared" si="220"/>
        <v>2.0911491547707294E-2</v>
      </c>
      <c r="BG89" s="3">
        <f t="shared" si="221"/>
        <v>2.6399309185212442E-2</v>
      </c>
      <c r="BH89" s="3">
        <f t="shared" si="222"/>
        <v>2.3099296238946871E-2</v>
      </c>
      <c r="BI89" s="3">
        <f t="shared" si="223"/>
        <v>4.3001692882428909E-2</v>
      </c>
      <c r="BJ89" s="3">
        <f t="shared" si="224"/>
        <v>2.551599370696854E-2</v>
      </c>
      <c r="BK89" s="10">
        <f t="shared" si="225"/>
        <v>7.004522647852221E-2</v>
      </c>
      <c r="BM89" s="5" t="s">
        <v>51</v>
      </c>
      <c r="BN89" s="3">
        <f>BN92*0.25</f>
        <v>3.3796054025423725E-2</v>
      </c>
      <c r="BO89" s="3">
        <f t="shared" si="226"/>
        <v>3.5875192358787326E-2</v>
      </c>
      <c r="BP89" s="3">
        <f t="shared" si="227"/>
        <v>4.5289944669797313E-2</v>
      </c>
      <c r="BQ89" s="3">
        <f t="shared" si="228"/>
        <v>3.9628531232899465E-2</v>
      </c>
      <c r="BR89" s="3">
        <f t="shared" si="229"/>
        <v>7.3772547519680487E-2</v>
      </c>
      <c r="BS89" s="3">
        <f t="shared" si="230"/>
        <v>4.3774552397409718E-2</v>
      </c>
      <c r="BT89" s="10">
        <f t="shared" si="231"/>
        <v>0.12016770625849102</v>
      </c>
    </row>
    <row r="90" spans="2:72" x14ac:dyDescent="0.25">
      <c r="B90" s="5" t="s">
        <v>52</v>
      </c>
      <c r="C90" s="3">
        <f>C92*0.5</f>
        <v>0.95003957627118651</v>
      </c>
      <c r="D90" s="3">
        <f t="shared" si="189"/>
        <v>1.0084861540803003</v>
      </c>
      <c r="E90" s="3">
        <f t="shared" si="190"/>
        <v>1.2731438945822393</v>
      </c>
      <c r="F90" s="3">
        <f t="shared" si="191"/>
        <v>1.1139961189679528</v>
      </c>
      <c r="G90" s="3">
        <f t="shared" si="192"/>
        <v>2.0738172489995153</v>
      </c>
      <c r="H90" s="3">
        <f t="shared" si="193"/>
        <v>1.2305447606342135</v>
      </c>
      <c r="I90" s="10">
        <f t="shared" si="194"/>
        <v>3.3780297738136862</v>
      </c>
      <c r="K90" s="5" t="s">
        <v>52</v>
      </c>
      <c r="L90" s="3">
        <f>L92*0.5</f>
        <v>0.50537241525423726</v>
      </c>
      <c r="M90" s="3">
        <f t="shared" si="195"/>
        <v>0.53646300235026911</v>
      </c>
      <c r="N90" s="3">
        <f t="shared" si="196"/>
        <v>0.6772473705743306</v>
      </c>
      <c r="O90" s="3">
        <f t="shared" si="197"/>
        <v>0.59258890186063029</v>
      </c>
      <c r="P90" s="3">
        <f t="shared" si="198"/>
        <v>1.103164602927678</v>
      </c>
      <c r="Q90" s="3">
        <f t="shared" si="199"/>
        <v>0.65458681226838134</v>
      </c>
      <c r="R90" s="10">
        <f t="shared" si="200"/>
        <v>1.7969388941599647</v>
      </c>
      <c r="T90" s="5" t="s">
        <v>52</v>
      </c>
      <c r="U90" s="3">
        <f>U92*0.5</f>
        <v>4.2782415254237288E-2</v>
      </c>
      <c r="V90" s="3">
        <f t="shared" si="201"/>
        <v>4.5414395883752491E-2</v>
      </c>
      <c r="W90" s="3">
        <f t="shared" si="202"/>
        <v>5.7332528177611891E-2</v>
      </c>
      <c r="X90" s="3">
        <f t="shared" si="203"/>
        <v>5.0165746505376536E-2</v>
      </c>
      <c r="Y90" s="3">
        <f t="shared" si="204"/>
        <v>9.3388647088078286E-2</v>
      </c>
      <c r="Z90" s="3">
        <f t="shared" si="205"/>
        <v>5.5414193527608749E-2</v>
      </c>
      <c r="AA90" s="10">
        <f t="shared" si="206"/>
        <v>0.15212026544378549</v>
      </c>
      <c r="AC90" s="5" t="s">
        <v>52</v>
      </c>
      <c r="AD90" s="3">
        <f>AD92*0.5</f>
        <v>5.140345338983051E-2</v>
      </c>
      <c r="AE90" s="3">
        <f t="shared" si="207"/>
        <v>5.4565801583784372E-2</v>
      </c>
      <c r="AF90" s="3">
        <f t="shared" si="208"/>
        <v>6.888554380078224E-2</v>
      </c>
      <c r="AG90" s="3">
        <f t="shared" si="209"/>
        <v>6.0274591720245969E-2</v>
      </c>
      <c r="AH90" s="3">
        <f t="shared" si="210"/>
        <v>0.11220729215973631</v>
      </c>
      <c r="AI90" s="3">
        <f t="shared" si="211"/>
        <v>6.6580647614310706E-2</v>
      </c>
      <c r="AJ90" s="10">
        <f t="shared" si="212"/>
        <v>0.18277385528424103</v>
      </c>
      <c r="AK90" s="3"/>
      <c r="AL90" s="5" t="s">
        <v>52</v>
      </c>
      <c r="AM90" s="3">
        <f>AM92*0.5</f>
        <v>9.4185868644067805E-2</v>
      </c>
      <c r="AN90" s="3">
        <f t="shared" si="213"/>
        <v>9.9980197467536877E-2</v>
      </c>
      <c r="AO90" s="3">
        <f t="shared" si="184"/>
        <v>0.12621807197839413</v>
      </c>
      <c r="AP90" s="3">
        <f t="shared" si="185"/>
        <v>0.11044033822562252</v>
      </c>
      <c r="AQ90" s="3">
        <f t="shared" si="186"/>
        <v>0.20559593924781461</v>
      </c>
      <c r="AR90" s="3">
        <f t="shared" si="187"/>
        <v>0.12199484114191947</v>
      </c>
      <c r="AS90" s="10">
        <f t="shared" si="188"/>
        <v>0.33489412072802655</v>
      </c>
      <c r="AU90" s="5" t="s">
        <v>52</v>
      </c>
      <c r="AV90" s="3">
        <f>AV92*0.5</f>
        <v>2.819296610169492E-2</v>
      </c>
      <c r="AW90" s="3">
        <f t="shared" si="214"/>
        <v>2.9927401622160083E-2</v>
      </c>
      <c r="AX90" s="3">
        <f t="shared" si="215"/>
        <v>3.7781270969169764E-2</v>
      </c>
      <c r="AY90" s="3">
        <f t="shared" si="216"/>
        <v>3.3058469987905202E-2</v>
      </c>
      <c r="AZ90" s="3">
        <f t="shared" si="217"/>
        <v>6.1541709274503177E-2</v>
      </c>
      <c r="BA90" s="3">
        <f t="shared" si="218"/>
        <v>3.6517117380882369E-2</v>
      </c>
      <c r="BB90" s="10">
        <f t="shared" si="219"/>
        <v>0.10024495955993766</v>
      </c>
      <c r="BD90" s="5" t="s">
        <v>52</v>
      </c>
      <c r="BE90" s="3">
        <f>BE92*0.5</f>
        <v>3.939914194915254E-2</v>
      </c>
      <c r="BF90" s="3">
        <f t="shared" si="220"/>
        <v>4.1822983095414587E-2</v>
      </c>
      <c r="BG90" s="3">
        <f t="shared" si="221"/>
        <v>5.2798618370424884E-2</v>
      </c>
      <c r="BH90" s="3">
        <f t="shared" si="222"/>
        <v>4.6198592477893742E-2</v>
      </c>
      <c r="BI90" s="3">
        <f t="shared" si="223"/>
        <v>8.6003385764857818E-2</v>
      </c>
      <c r="BJ90" s="3">
        <f t="shared" si="224"/>
        <v>5.103198741393708E-2</v>
      </c>
      <c r="BK90" s="10">
        <f t="shared" si="225"/>
        <v>0.14009045295704442</v>
      </c>
      <c r="BM90" s="5" t="s">
        <v>52</v>
      </c>
      <c r="BN90" s="3">
        <f>BN92*0.5</f>
        <v>6.7592108050847449E-2</v>
      </c>
      <c r="BO90" s="3">
        <f t="shared" si="226"/>
        <v>7.1750384717574653E-2</v>
      </c>
      <c r="BP90" s="3">
        <f t="shared" si="227"/>
        <v>9.0579889339594627E-2</v>
      </c>
      <c r="BQ90" s="3">
        <f t="shared" si="228"/>
        <v>7.925706246579893E-2</v>
      </c>
      <c r="BR90" s="3">
        <f t="shared" si="229"/>
        <v>0.14754509503936097</v>
      </c>
      <c r="BS90" s="3">
        <f t="shared" si="230"/>
        <v>8.7549104794819435E-2</v>
      </c>
      <c r="BT90" s="10">
        <f t="shared" si="231"/>
        <v>0.24033541251698204</v>
      </c>
    </row>
    <row r="91" spans="2:72" x14ac:dyDescent="0.25">
      <c r="B91" s="5" t="s">
        <v>53</v>
      </c>
      <c r="C91" s="3">
        <f>C92*0.75</f>
        <v>1.4250593644067797</v>
      </c>
      <c r="D91" s="3">
        <f t="shared" si="189"/>
        <v>1.5127292311204503</v>
      </c>
      <c r="E91" s="3">
        <f t="shared" si="190"/>
        <v>1.9097158418733589</v>
      </c>
      <c r="F91" s="3">
        <f t="shared" si="191"/>
        <v>1.6709941784519293</v>
      </c>
      <c r="G91" s="3">
        <f t="shared" si="192"/>
        <v>3.1107258734992729</v>
      </c>
      <c r="H91" s="3">
        <f t="shared" si="193"/>
        <v>1.84581714095132</v>
      </c>
      <c r="I91" s="10">
        <f t="shared" si="194"/>
        <v>5.0670446607205291</v>
      </c>
      <c r="K91" s="5" t="s">
        <v>53</v>
      </c>
      <c r="L91" s="3">
        <f>L92*0.75</f>
        <v>0.75805862288135595</v>
      </c>
      <c r="M91" s="3">
        <f t="shared" si="195"/>
        <v>0.80469450352540373</v>
      </c>
      <c r="N91" s="3">
        <f t="shared" si="196"/>
        <v>1.0158710558614961</v>
      </c>
      <c r="O91" s="3">
        <f t="shared" si="197"/>
        <v>0.88888335279094555</v>
      </c>
      <c r="P91" s="3">
        <f t="shared" si="198"/>
        <v>1.6547469043915171</v>
      </c>
      <c r="Q91" s="3">
        <f t="shared" si="199"/>
        <v>0.981880218402572</v>
      </c>
      <c r="R91" s="10">
        <f t="shared" si="200"/>
        <v>2.695408341239947</v>
      </c>
      <c r="T91" s="5" t="s">
        <v>53</v>
      </c>
      <c r="U91" s="3">
        <f>U92*0.75</f>
        <v>6.4173622881355932E-2</v>
      </c>
      <c r="V91" s="3">
        <f t="shared" si="201"/>
        <v>6.812159382562874E-2</v>
      </c>
      <c r="W91" s="3">
        <f t="shared" si="202"/>
        <v>8.5998792266417837E-2</v>
      </c>
      <c r="X91" s="3">
        <f t="shared" si="203"/>
        <v>7.5248619758064808E-2</v>
      </c>
      <c r="Y91" s="3">
        <f t="shared" si="204"/>
        <v>0.14008297063211742</v>
      </c>
      <c r="Z91" s="3">
        <f t="shared" si="205"/>
        <v>8.312129029141313E-2</v>
      </c>
      <c r="AA91" s="10">
        <f t="shared" si="206"/>
        <v>0.22818039816567823</v>
      </c>
      <c r="AC91" s="5" t="s">
        <v>53</v>
      </c>
      <c r="AD91" s="3">
        <f>AD92*0.75</f>
        <v>7.7105180084745761E-2</v>
      </c>
      <c r="AE91" s="3">
        <f t="shared" si="207"/>
        <v>8.1848702375676555E-2</v>
      </c>
      <c r="AF91" s="3">
        <f t="shared" si="208"/>
        <v>0.10332831570117336</v>
      </c>
      <c r="AG91" s="3">
        <f t="shared" si="209"/>
        <v>9.0411887580368958E-2</v>
      </c>
      <c r="AH91" s="3">
        <f t="shared" si="210"/>
        <v>0.16831093823960447</v>
      </c>
      <c r="AI91" s="3">
        <f t="shared" si="211"/>
        <v>9.9870971421466059E-2</v>
      </c>
      <c r="AJ91" s="10">
        <f t="shared" si="212"/>
        <v>0.27416078292636153</v>
      </c>
      <c r="AK91" s="3"/>
      <c r="AL91" s="5" t="s">
        <v>53</v>
      </c>
      <c r="AM91" s="3">
        <f>AM92*0.75</f>
        <v>0.14127880296610171</v>
      </c>
      <c r="AN91" s="3">
        <f t="shared" si="213"/>
        <v>0.14997029620130531</v>
      </c>
      <c r="AO91" s="3">
        <f t="shared" si="184"/>
        <v>0.18932710796759122</v>
      </c>
      <c r="AP91" s="3">
        <f t="shared" si="185"/>
        <v>0.16566050733843377</v>
      </c>
      <c r="AQ91" s="3">
        <f t="shared" si="186"/>
        <v>0.30839390887172191</v>
      </c>
      <c r="AR91" s="3">
        <f t="shared" si="187"/>
        <v>0.18299226171287922</v>
      </c>
      <c r="AS91" s="10">
        <f t="shared" si="188"/>
        <v>0.50234118109203985</v>
      </c>
      <c r="AU91" s="5" t="s">
        <v>53</v>
      </c>
      <c r="AV91" s="3">
        <f>AV92*0.75</f>
        <v>4.2289449152542381E-2</v>
      </c>
      <c r="AW91" s="3">
        <f t="shared" si="214"/>
        <v>4.4891102433240127E-2</v>
      </c>
      <c r="AX91" s="3">
        <f t="shared" si="215"/>
        <v>5.6671906453754646E-2</v>
      </c>
      <c r="AY91" s="3">
        <f t="shared" si="216"/>
        <v>4.9587704981857807E-2</v>
      </c>
      <c r="AZ91" s="3">
        <f t="shared" si="217"/>
        <v>9.2312563911754769E-2</v>
      </c>
      <c r="BA91" s="3">
        <f t="shared" si="218"/>
        <v>5.477567607132356E-2</v>
      </c>
      <c r="BB91" s="10">
        <f t="shared" si="219"/>
        <v>0.15036743933990651</v>
      </c>
      <c r="BD91" s="5" t="s">
        <v>53</v>
      </c>
      <c r="BE91" s="3">
        <f>BE92*0.75</f>
        <v>5.9098712923728813E-2</v>
      </c>
      <c r="BF91" s="3">
        <f t="shared" si="220"/>
        <v>6.2734474643121887E-2</v>
      </c>
      <c r="BG91" s="3">
        <f t="shared" si="221"/>
        <v>7.9197927555637329E-2</v>
      </c>
      <c r="BH91" s="3">
        <f t="shared" si="222"/>
        <v>6.9297888716840617E-2</v>
      </c>
      <c r="BI91" s="3">
        <f t="shared" si="223"/>
        <v>0.12900507864728675</v>
      </c>
      <c r="BJ91" s="3">
        <f t="shared" si="224"/>
        <v>7.6547981120905634E-2</v>
      </c>
      <c r="BK91" s="10">
        <f t="shared" si="225"/>
        <v>0.21013567943556663</v>
      </c>
      <c r="BM91" s="5" t="s">
        <v>53</v>
      </c>
      <c r="BN91" s="3">
        <f>BN92*0.75</f>
        <v>0.10138816207627117</v>
      </c>
      <c r="BO91" s="3">
        <f t="shared" si="226"/>
        <v>0.10762557707636199</v>
      </c>
      <c r="BP91" s="3">
        <f t="shared" si="227"/>
        <v>0.13586983400939195</v>
      </c>
      <c r="BQ91" s="3">
        <f t="shared" si="228"/>
        <v>0.1188855936986984</v>
      </c>
      <c r="BR91" s="3">
        <f t="shared" si="229"/>
        <v>0.22131764255904146</v>
      </c>
      <c r="BS91" s="3">
        <f t="shared" si="230"/>
        <v>0.13132365719222916</v>
      </c>
      <c r="BT91" s="10">
        <f t="shared" si="231"/>
        <v>0.36050311877547309</v>
      </c>
    </row>
    <row r="92" spans="2:72" ht="15.75" thickBot="1" x14ac:dyDescent="0.3">
      <c r="B92" s="6" t="s">
        <v>54</v>
      </c>
      <c r="C92" s="11">
        <f>C46*($C$18/$C$22)/$D$22</f>
        <v>1.900079152542373</v>
      </c>
      <c r="D92" s="11">
        <f>C92*(1.01)^6</f>
        <v>2.0169723081606006</v>
      </c>
      <c r="E92" s="11">
        <f t="shared" si="190"/>
        <v>2.5462877891644786</v>
      </c>
      <c r="F92" s="11">
        <f t="shared" si="191"/>
        <v>2.2279922379359056</v>
      </c>
      <c r="G92" s="11">
        <f t="shared" si="192"/>
        <v>4.1476344979990305</v>
      </c>
      <c r="H92" s="11">
        <f t="shared" si="193"/>
        <v>2.4610895212684269</v>
      </c>
      <c r="I92" s="12">
        <f>C92*(1.05)^26</f>
        <v>6.7560595476273724</v>
      </c>
      <c r="K92" s="6" t="s">
        <v>54</v>
      </c>
      <c r="L92" s="11">
        <f>L46*($C$18/$C$22)/$D$22</f>
        <v>1.0107448305084745</v>
      </c>
      <c r="M92" s="11">
        <f>L92*(1.01)^6</f>
        <v>1.0729260047005382</v>
      </c>
      <c r="N92" s="11">
        <f t="shared" si="196"/>
        <v>1.3544947411486612</v>
      </c>
      <c r="O92" s="11">
        <f t="shared" si="197"/>
        <v>1.1851778037212606</v>
      </c>
      <c r="P92" s="11">
        <f t="shared" si="198"/>
        <v>2.2063292058553561</v>
      </c>
      <c r="Q92" s="11">
        <f t="shared" si="199"/>
        <v>1.3091736245367627</v>
      </c>
      <c r="R92" s="12">
        <f>L92*(1.05)^26</f>
        <v>3.5938777883199293</v>
      </c>
      <c r="T92" s="6" t="s">
        <v>54</v>
      </c>
      <c r="U92" s="11">
        <f>U46*($C$18/$C$22)/$D$22</f>
        <v>8.5564830508474576E-2</v>
      </c>
      <c r="V92" s="11">
        <f>U92*(1.01)^6</f>
        <v>9.0828791767504982E-2</v>
      </c>
      <c r="W92" s="11">
        <f t="shared" si="202"/>
        <v>0.11466505635522378</v>
      </c>
      <c r="X92" s="11">
        <f t="shared" si="203"/>
        <v>0.10033149301075307</v>
      </c>
      <c r="Y92" s="11">
        <f t="shared" si="204"/>
        <v>0.18677729417615657</v>
      </c>
      <c r="Z92" s="11">
        <f t="shared" si="205"/>
        <v>0.1108283870552175</v>
      </c>
      <c r="AA92" s="12">
        <f>U92*(1.05)^26</f>
        <v>0.30424053088757097</v>
      </c>
      <c r="AC92" s="6" t="s">
        <v>54</v>
      </c>
      <c r="AD92" s="11">
        <f>AD46*($C$18/$C$22)/$D$22</f>
        <v>0.10280690677966102</v>
      </c>
      <c r="AE92" s="11">
        <f>AD92*(1.01)^6</f>
        <v>0.10913160316756874</v>
      </c>
      <c r="AF92" s="11">
        <f t="shared" si="208"/>
        <v>0.13777108760156448</v>
      </c>
      <c r="AG92" s="11">
        <f t="shared" si="209"/>
        <v>0.12054918344049194</v>
      </c>
      <c r="AH92" s="11">
        <f t="shared" si="210"/>
        <v>0.22441458431947262</v>
      </c>
      <c r="AI92" s="11">
        <f t="shared" si="211"/>
        <v>0.13316129522862141</v>
      </c>
      <c r="AJ92" s="12">
        <f>AD92*(1.05)^26</f>
        <v>0.36554771056848206</v>
      </c>
      <c r="AK92" s="3"/>
      <c r="AL92" s="6" t="s">
        <v>54</v>
      </c>
      <c r="AM92" s="11">
        <f>AM46*($C$18/$C$22)/$D$22</f>
        <v>0.18837173728813561</v>
      </c>
      <c r="AN92" s="11">
        <f>AM92*(1.01)^6</f>
        <v>0.19996039493507375</v>
      </c>
      <c r="AO92" s="11">
        <f t="shared" si="184"/>
        <v>0.25243614395678826</v>
      </c>
      <c r="AP92" s="11">
        <f t="shared" si="185"/>
        <v>0.22088067645124504</v>
      </c>
      <c r="AQ92" s="11">
        <f t="shared" si="186"/>
        <v>0.41119187849562921</v>
      </c>
      <c r="AR92" s="11">
        <f t="shared" si="187"/>
        <v>0.24398968228383894</v>
      </c>
      <c r="AS92" s="12">
        <f t="shared" si="188"/>
        <v>0.66978824145605309</v>
      </c>
      <c r="AU92" s="6" t="s">
        <v>54</v>
      </c>
      <c r="AV92" s="11">
        <f>AV46*($C$18/$C$22)/$D$22</f>
        <v>5.6385932203389839E-2</v>
      </c>
      <c r="AW92" s="11">
        <f>AV92*(1.01)^6</f>
        <v>5.9854803244320166E-2</v>
      </c>
      <c r="AX92" s="11">
        <f t="shared" si="215"/>
        <v>7.5562541938339528E-2</v>
      </c>
      <c r="AY92" s="11">
        <f t="shared" si="216"/>
        <v>6.6116939975810404E-2</v>
      </c>
      <c r="AZ92" s="11">
        <f t="shared" si="217"/>
        <v>0.12308341854900635</v>
      </c>
      <c r="BA92" s="11">
        <f t="shared" si="218"/>
        <v>7.3034234761764738E-2</v>
      </c>
      <c r="BB92" s="12">
        <f>AV92*(1.05)^26</f>
        <v>0.20048991911987532</v>
      </c>
      <c r="BD92" s="6" t="s">
        <v>54</v>
      </c>
      <c r="BE92" s="11">
        <f>BE46*($C$18/$C$22)/$D$22</f>
        <v>7.879828389830508E-2</v>
      </c>
      <c r="BF92" s="11">
        <f>BE92*(1.01)^6</f>
        <v>8.3645966190829174E-2</v>
      </c>
      <c r="BG92" s="11">
        <f t="shared" si="221"/>
        <v>0.10559723674084977</v>
      </c>
      <c r="BH92" s="11">
        <f t="shared" si="222"/>
        <v>9.2397184955787484E-2</v>
      </c>
      <c r="BI92" s="11">
        <f t="shared" si="223"/>
        <v>0.17200677152971564</v>
      </c>
      <c r="BJ92" s="11">
        <f t="shared" si="224"/>
        <v>0.10206397482787416</v>
      </c>
      <c r="BK92" s="12">
        <f>BE92*(1.05)^26</f>
        <v>0.28018090591408884</v>
      </c>
      <c r="BM92" s="6" t="s">
        <v>54</v>
      </c>
      <c r="BN92" s="11">
        <f>BN46*($C$18/$C$22)/$D$22</f>
        <v>0.1351842161016949</v>
      </c>
      <c r="BO92" s="11">
        <f>BN92*(1.01)^6</f>
        <v>0.14350076943514931</v>
      </c>
      <c r="BP92" s="11">
        <f t="shared" si="227"/>
        <v>0.18115977867918925</v>
      </c>
      <c r="BQ92" s="11">
        <f t="shared" si="228"/>
        <v>0.15851412493159786</v>
      </c>
      <c r="BR92" s="11">
        <f t="shared" si="229"/>
        <v>0.29509019007872195</v>
      </c>
      <c r="BS92" s="11">
        <f t="shared" si="230"/>
        <v>0.17509820958963887</v>
      </c>
      <c r="BT92" s="12">
        <f>BN92*(1.05)^26</f>
        <v>0.48067082503396408</v>
      </c>
    </row>
    <row r="93" spans="2:72" ht="15.75" thickBot="1" x14ac:dyDescent="0.3">
      <c r="L93" s="3"/>
      <c r="M93" s="3"/>
      <c r="N93" s="3"/>
      <c r="O93" s="3"/>
      <c r="P93" s="3"/>
      <c r="Q93" s="3"/>
      <c r="R93" s="3"/>
      <c r="U93" s="3"/>
      <c r="V93" s="3"/>
      <c r="W93" s="3"/>
      <c r="X93" s="3"/>
      <c r="Y93" s="3"/>
      <c r="Z93" s="3"/>
      <c r="AA93" s="3"/>
      <c r="AD93" s="3"/>
      <c r="AE93" s="3"/>
      <c r="AF93" s="3"/>
      <c r="AG93" s="3"/>
      <c r="AH93" s="3"/>
      <c r="AI93" s="3"/>
      <c r="AJ93" s="3"/>
      <c r="AK93" s="3"/>
      <c r="AM93" s="3"/>
      <c r="AN93" s="3"/>
      <c r="AO93" s="3"/>
      <c r="AP93" s="3"/>
      <c r="AQ93" s="3"/>
      <c r="AR93" s="3"/>
      <c r="AS93" s="3"/>
      <c r="AV93" s="3"/>
      <c r="AW93" s="3"/>
      <c r="AX93" s="3"/>
      <c r="AY93" s="3"/>
      <c r="AZ93" s="3"/>
      <c r="BA93" s="3"/>
      <c r="BB93" s="3"/>
      <c r="BE93" s="3"/>
      <c r="BF93" s="3"/>
      <c r="BG93" s="3"/>
      <c r="BH93" s="3"/>
      <c r="BI93" s="3"/>
      <c r="BJ93" s="3"/>
      <c r="BK93" s="3"/>
      <c r="BN93" s="3"/>
      <c r="BO93" s="3"/>
      <c r="BP93" s="3"/>
      <c r="BQ93" s="3"/>
      <c r="BR93" s="3"/>
      <c r="BS93" s="3"/>
      <c r="BT93" s="3"/>
    </row>
    <row r="94" spans="2:72" ht="15.75" thickBot="1" x14ac:dyDescent="0.3">
      <c r="B94" s="34" t="s">
        <v>61</v>
      </c>
      <c r="C94" s="35"/>
      <c r="D94" s="35"/>
      <c r="E94" s="35"/>
      <c r="F94" s="35"/>
      <c r="G94" s="35"/>
      <c r="H94" s="35"/>
      <c r="I94" s="36"/>
      <c r="K94" s="49" t="s">
        <v>61</v>
      </c>
      <c r="L94" s="50"/>
      <c r="M94" s="50"/>
      <c r="N94" s="50"/>
      <c r="O94" s="50"/>
      <c r="P94" s="50"/>
      <c r="Q94" s="50"/>
      <c r="R94" s="51"/>
      <c r="T94" s="52" t="s">
        <v>61</v>
      </c>
      <c r="U94" s="53"/>
      <c r="V94" s="53"/>
      <c r="W94" s="53"/>
      <c r="X94" s="53"/>
      <c r="Y94" s="53"/>
      <c r="Z94" s="53"/>
      <c r="AA94" s="54"/>
      <c r="AC94" s="52" t="s">
        <v>61</v>
      </c>
      <c r="AD94" s="53"/>
      <c r="AE94" s="53"/>
      <c r="AF94" s="53"/>
      <c r="AG94" s="53"/>
      <c r="AH94" s="53"/>
      <c r="AI94" s="53"/>
      <c r="AJ94" s="54"/>
      <c r="AK94" s="3"/>
      <c r="AL94" s="52" t="s">
        <v>61</v>
      </c>
      <c r="AM94" s="53"/>
      <c r="AN94" s="53"/>
      <c r="AO94" s="53"/>
      <c r="AP94" s="53"/>
      <c r="AQ94" s="53"/>
      <c r="AR94" s="53"/>
      <c r="AS94" s="54"/>
      <c r="AU94" s="45" t="s">
        <v>61</v>
      </c>
      <c r="AV94" s="46"/>
      <c r="AW94" s="46"/>
      <c r="AX94" s="46"/>
      <c r="AY94" s="46"/>
      <c r="AZ94" s="46"/>
      <c r="BA94" s="46"/>
      <c r="BB94" s="47"/>
      <c r="BD94" s="45" t="s">
        <v>61</v>
      </c>
      <c r="BE94" s="46"/>
      <c r="BF94" s="46"/>
      <c r="BG94" s="46"/>
      <c r="BH94" s="46"/>
      <c r="BI94" s="46"/>
      <c r="BJ94" s="46"/>
      <c r="BK94" s="47"/>
      <c r="BM94" s="45" t="s">
        <v>61</v>
      </c>
      <c r="BN94" s="46"/>
      <c r="BO94" s="46"/>
      <c r="BP94" s="46"/>
      <c r="BQ94" s="46"/>
      <c r="BR94" s="46"/>
      <c r="BS94" s="46"/>
      <c r="BT94" s="47"/>
    </row>
    <row r="95" spans="2:72" x14ac:dyDescent="0.25">
      <c r="B95" s="7" t="s">
        <v>44</v>
      </c>
      <c r="C95" s="325" t="s">
        <v>57</v>
      </c>
      <c r="D95" s="325"/>
      <c r="E95" s="325"/>
      <c r="F95" s="325"/>
      <c r="G95" s="325"/>
      <c r="H95" s="325"/>
      <c r="I95" s="326"/>
      <c r="K95" s="7" t="s">
        <v>44</v>
      </c>
      <c r="L95" s="325" t="s">
        <v>57</v>
      </c>
      <c r="M95" s="325"/>
      <c r="N95" s="325"/>
      <c r="O95" s="325"/>
      <c r="P95" s="325"/>
      <c r="Q95" s="325"/>
      <c r="R95" s="326"/>
      <c r="T95" s="7" t="s">
        <v>44</v>
      </c>
      <c r="U95" s="325" t="s">
        <v>57</v>
      </c>
      <c r="V95" s="325"/>
      <c r="W95" s="325"/>
      <c r="X95" s="325"/>
      <c r="Y95" s="325"/>
      <c r="Z95" s="325"/>
      <c r="AA95" s="326"/>
      <c r="AC95" s="7" t="s">
        <v>44</v>
      </c>
      <c r="AD95" s="325" t="s">
        <v>57</v>
      </c>
      <c r="AE95" s="325"/>
      <c r="AF95" s="325"/>
      <c r="AG95" s="325"/>
      <c r="AH95" s="325"/>
      <c r="AI95" s="325"/>
      <c r="AJ95" s="326"/>
      <c r="AK95" s="3"/>
      <c r="AL95" s="7" t="s">
        <v>44</v>
      </c>
      <c r="AM95" s="325" t="s">
        <v>57</v>
      </c>
      <c r="AN95" s="325"/>
      <c r="AO95" s="325"/>
      <c r="AP95" s="325"/>
      <c r="AQ95" s="325"/>
      <c r="AR95" s="325"/>
      <c r="AS95" s="326"/>
      <c r="AU95" s="7" t="s">
        <v>44</v>
      </c>
      <c r="AV95" s="325" t="s">
        <v>57</v>
      </c>
      <c r="AW95" s="325"/>
      <c r="AX95" s="325"/>
      <c r="AY95" s="325"/>
      <c r="AZ95" s="325"/>
      <c r="BA95" s="325"/>
      <c r="BB95" s="326"/>
      <c r="BD95" s="7" t="s">
        <v>44</v>
      </c>
      <c r="BE95" s="325" t="s">
        <v>57</v>
      </c>
      <c r="BF95" s="325"/>
      <c r="BG95" s="325"/>
      <c r="BH95" s="325"/>
      <c r="BI95" s="325"/>
      <c r="BJ95" s="325"/>
      <c r="BK95" s="326"/>
      <c r="BM95" s="7" t="s">
        <v>44</v>
      </c>
      <c r="BN95" s="325" t="s">
        <v>57</v>
      </c>
      <c r="BO95" s="325"/>
      <c r="BP95" s="325"/>
      <c r="BQ95" s="325"/>
      <c r="BR95" s="325"/>
      <c r="BS95" s="325"/>
      <c r="BT95" s="326"/>
    </row>
    <row r="96" spans="2:72" x14ac:dyDescent="0.25">
      <c r="B96" s="5"/>
      <c r="C96" s="3" t="s">
        <v>46</v>
      </c>
      <c r="I96" s="10"/>
      <c r="K96" s="5"/>
      <c r="L96" s="3" t="s">
        <v>46</v>
      </c>
      <c r="M96" s="3"/>
      <c r="N96" s="3"/>
      <c r="O96" s="3"/>
      <c r="P96" s="3"/>
      <c r="Q96" s="3"/>
      <c r="R96" s="10"/>
      <c r="T96" s="5"/>
      <c r="U96" s="3" t="s">
        <v>46</v>
      </c>
      <c r="V96" s="3"/>
      <c r="W96" s="3"/>
      <c r="X96" s="3"/>
      <c r="Y96" s="3"/>
      <c r="Z96" s="3"/>
      <c r="AA96" s="10"/>
      <c r="AC96" s="5"/>
      <c r="AD96" s="3" t="s">
        <v>46</v>
      </c>
      <c r="AE96" s="3"/>
      <c r="AF96" s="3"/>
      <c r="AG96" s="3"/>
      <c r="AH96" s="3"/>
      <c r="AI96" s="3"/>
      <c r="AJ96" s="10"/>
      <c r="AK96" s="3"/>
      <c r="AL96" s="5"/>
      <c r="AM96" s="3" t="s">
        <v>46</v>
      </c>
      <c r="AN96" s="3"/>
      <c r="AO96" s="3"/>
      <c r="AP96" s="3"/>
      <c r="AQ96" s="3"/>
      <c r="AR96" s="3"/>
      <c r="AS96" s="10"/>
      <c r="AU96" s="5"/>
      <c r="AV96" s="3" t="s">
        <v>46</v>
      </c>
      <c r="AW96" s="3"/>
      <c r="AX96" s="3"/>
      <c r="AY96" s="3"/>
      <c r="AZ96" s="3"/>
      <c r="BA96" s="3"/>
      <c r="BB96" s="10"/>
      <c r="BD96" s="5"/>
      <c r="BE96" s="3" t="s">
        <v>46</v>
      </c>
      <c r="BF96" s="3"/>
      <c r="BG96" s="3"/>
      <c r="BH96" s="3"/>
      <c r="BI96" s="3"/>
      <c r="BJ96" s="3"/>
      <c r="BK96" s="10"/>
      <c r="BM96" s="5"/>
      <c r="BN96" s="3" t="s">
        <v>46</v>
      </c>
      <c r="BO96" s="3"/>
      <c r="BP96" s="3"/>
      <c r="BQ96" s="3"/>
      <c r="BR96" s="3"/>
      <c r="BS96" s="3"/>
      <c r="BT96" s="10"/>
    </row>
    <row r="97" spans="2:72" ht="15.75" thickBot="1" x14ac:dyDescent="0.3">
      <c r="B97" s="6"/>
      <c r="C97" s="11"/>
      <c r="D97" s="11" t="s">
        <v>47</v>
      </c>
      <c r="E97" s="11" t="s">
        <v>48</v>
      </c>
      <c r="F97" s="11" t="s">
        <v>47</v>
      </c>
      <c r="G97" s="11" t="s">
        <v>48</v>
      </c>
      <c r="H97" s="11" t="s">
        <v>47</v>
      </c>
      <c r="I97" s="12" t="s">
        <v>48</v>
      </c>
      <c r="K97" s="6"/>
      <c r="L97" s="11"/>
      <c r="M97" s="11" t="s">
        <v>47</v>
      </c>
      <c r="N97" s="11" t="s">
        <v>48</v>
      </c>
      <c r="O97" s="11" t="s">
        <v>47</v>
      </c>
      <c r="P97" s="11" t="s">
        <v>48</v>
      </c>
      <c r="Q97" s="11" t="s">
        <v>47</v>
      </c>
      <c r="R97" s="12" t="s">
        <v>48</v>
      </c>
      <c r="T97" s="6"/>
      <c r="U97" s="11"/>
      <c r="V97" s="11" t="s">
        <v>47</v>
      </c>
      <c r="W97" s="11" t="s">
        <v>48</v>
      </c>
      <c r="X97" s="11" t="s">
        <v>47</v>
      </c>
      <c r="Y97" s="11" t="s">
        <v>48</v>
      </c>
      <c r="Z97" s="11" t="s">
        <v>47</v>
      </c>
      <c r="AA97" s="12" t="s">
        <v>48</v>
      </c>
      <c r="AC97" s="6"/>
      <c r="AD97" s="11"/>
      <c r="AE97" s="11" t="s">
        <v>47</v>
      </c>
      <c r="AF97" s="11" t="s">
        <v>48</v>
      </c>
      <c r="AG97" s="11" t="s">
        <v>47</v>
      </c>
      <c r="AH97" s="11" t="s">
        <v>48</v>
      </c>
      <c r="AI97" s="11" t="s">
        <v>47</v>
      </c>
      <c r="AJ97" s="12" t="s">
        <v>48</v>
      </c>
      <c r="AK97" s="3"/>
      <c r="AL97" s="6"/>
      <c r="AM97" s="11"/>
      <c r="AN97" s="11" t="s">
        <v>47</v>
      </c>
      <c r="AO97" s="11" t="s">
        <v>48</v>
      </c>
      <c r="AP97" s="11" t="s">
        <v>47</v>
      </c>
      <c r="AQ97" s="11" t="s">
        <v>48</v>
      </c>
      <c r="AR97" s="11" t="s">
        <v>47</v>
      </c>
      <c r="AS97" s="12" t="s">
        <v>48</v>
      </c>
      <c r="AU97" s="6"/>
      <c r="AV97" s="11"/>
      <c r="AW97" s="11" t="s">
        <v>47</v>
      </c>
      <c r="AX97" s="11" t="s">
        <v>48</v>
      </c>
      <c r="AY97" s="11" t="s">
        <v>47</v>
      </c>
      <c r="AZ97" s="11" t="s">
        <v>48</v>
      </c>
      <c r="BA97" s="11" t="s">
        <v>47</v>
      </c>
      <c r="BB97" s="12" t="s">
        <v>48</v>
      </c>
      <c r="BD97" s="6"/>
      <c r="BE97" s="11"/>
      <c r="BF97" s="11" t="s">
        <v>47</v>
      </c>
      <c r="BG97" s="11" t="s">
        <v>48</v>
      </c>
      <c r="BH97" s="11" t="s">
        <v>47</v>
      </c>
      <c r="BI97" s="11" t="s">
        <v>48</v>
      </c>
      <c r="BJ97" s="11" t="s">
        <v>47</v>
      </c>
      <c r="BK97" s="12" t="s">
        <v>48</v>
      </c>
      <c r="BM97" s="6"/>
      <c r="BN97" s="11"/>
      <c r="BO97" s="11" t="s">
        <v>47</v>
      </c>
      <c r="BP97" s="11" t="s">
        <v>48</v>
      </c>
      <c r="BQ97" s="11" t="s">
        <v>47</v>
      </c>
      <c r="BR97" s="11" t="s">
        <v>48</v>
      </c>
      <c r="BS97" s="11" t="s">
        <v>47</v>
      </c>
      <c r="BT97" s="12" t="s">
        <v>48</v>
      </c>
    </row>
    <row r="98" spans="2:72" x14ac:dyDescent="0.25">
      <c r="B98" s="5" t="s">
        <v>49</v>
      </c>
      <c r="C98" s="3">
        <f>C103*0.05</f>
        <v>9.2648487603305796E-2</v>
      </c>
      <c r="D98" s="3">
        <f>C98*(1.01)^6</f>
        <v>9.8348236513616058E-2</v>
      </c>
      <c r="E98" s="3">
        <f>C98*(1.05)^6</f>
        <v>0.12415783434768946</v>
      </c>
      <c r="F98" s="3">
        <f>C98*(1.01)^16</f>
        <v>0.10863763804811441</v>
      </c>
      <c r="G98" s="3">
        <f>C98*(1.05)^16</f>
        <v>0.20224002924127504</v>
      </c>
      <c r="H98" s="3">
        <f>C98*(1.01)^26</f>
        <v>0.12000353864036131</v>
      </c>
      <c r="I98" s="10">
        <f>C98*(1.05)^26</f>
        <v>0.32942769695042556</v>
      </c>
      <c r="K98" s="5" t="s">
        <v>49</v>
      </c>
      <c r="L98" s="3">
        <f>L103*0.05</f>
        <v>4.9284252066115704E-2</v>
      </c>
      <c r="M98" s="3">
        <f>L98*(1.01)^6</f>
        <v>5.2316226675480797E-2</v>
      </c>
      <c r="N98" s="3">
        <f>L98*(1.05)^6</f>
        <v>6.6045611345265307E-2</v>
      </c>
      <c r="O98" s="3">
        <f>L98*(1.01)^16</f>
        <v>5.7789661503763953E-2</v>
      </c>
      <c r="P98" s="3">
        <f>L98*(1.05)^16</f>
        <v>0.1075813414425339</v>
      </c>
      <c r="Q98" s="3">
        <f>L98*(1.01)^26</f>
        <v>6.3835738717081814E-2</v>
      </c>
      <c r="R98" s="10">
        <f>L98*(1.05)^26</f>
        <v>0.17523866901725277</v>
      </c>
      <c r="T98" s="5" t="s">
        <v>49</v>
      </c>
      <c r="U98" s="3">
        <f>U103*0.05</f>
        <v>4.1721694214876042E-3</v>
      </c>
      <c r="V98" s="3">
        <f>U98*(1.01)^6</f>
        <v>4.4288419126304089E-3</v>
      </c>
      <c r="W98" s="3">
        <f>U98*(1.05)^6</f>
        <v>5.5911060536844668E-3</v>
      </c>
      <c r="X98" s="3">
        <f>U98*(1.01)^16</f>
        <v>4.8921967666400272E-3</v>
      </c>
      <c r="Y98" s="3">
        <f>U98*(1.05)^16</f>
        <v>9.1073226085894542E-3</v>
      </c>
      <c r="Z98" s="3">
        <f>U98*(1.01)^26</f>
        <v>5.4040287902957307E-3</v>
      </c>
      <c r="AA98" s="10">
        <f>U98*(1.05)^26</f>
        <v>1.4834868861460074E-2</v>
      </c>
      <c r="AC98" s="5" t="s">
        <v>49</v>
      </c>
      <c r="AD98" s="3">
        <f>AD103*0.05</f>
        <v>5.0128987603305798E-3</v>
      </c>
      <c r="AE98" s="3">
        <f>AD98*(1.01)^6</f>
        <v>5.3212930470136841E-3</v>
      </c>
      <c r="AF98" s="3">
        <f>AD98*(1.05)^6</f>
        <v>6.7177637756134761E-3</v>
      </c>
      <c r="AG98" s="3">
        <f>AD98*(1.01)^16</f>
        <v>5.8780180355281209E-3</v>
      </c>
      <c r="AH98" s="3">
        <f>AD98*(1.05)^16</f>
        <v>1.0942529318056931E-2</v>
      </c>
      <c r="AI98" s="3">
        <f>AD98*(1.01)^26</f>
        <v>6.4929887756104672E-3</v>
      </c>
      <c r="AJ98" s="10">
        <f>AD98*(1.05)^26</f>
        <v>1.7824227209537559E-2</v>
      </c>
      <c r="AK98" s="3"/>
      <c r="AL98" s="5" t="s">
        <v>49</v>
      </c>
      <c r="AM98" s="3">
        <f>AM103*0.05</f>
        <v>9.1850681818181831E-3</v>
      </c>
      <c r="AN98" s="3">
        <f>AM98*(1.01)^6</f>
        <v>9.7501349596440922E-3</v>
      </c>
      <c r="AO98" s="3">
        <f t="shared" ref="AO98:AO103" si="232">AM98*(1.05)^6</f>
        <v>1.2308869829297941E-2</v>
      </c>
      <c r="AP98" s="3">
        <f t="shared" ref="AP98:AP103" si="233">AM98*(1.01)^16</f>
        <v>1.0770214802168146E-2</v>
      </c>
      <c r="AQ98" s="3">
        <f t="shared" ref="AQ98:AQ103" si="234">AM98*(1.05)^16</f>
        <v>2.0049851926646385E-2</v>
      </c>
      <c r="AR98" s="3">
        <f t="shared" ref="AR98:AR103" si="235">AM98*(1.01)^26</f>
        <v>1.1897017565906196E-2</v>
      </c>
      <c r="AS98" s="10">
        <f t="shared" ref="AS98:AS103" si="236">AM98*(1.05)^26</f>
        <v>3.265909607099763E-2</v>
      </c>
      <c r="AU98" s="5" t="s">
        <v>49</v>
      </c>
      <c r="AV98" s="3">
        <f>AV103*0.05</f>
        <v>2.7493966942148769E-3</v>
      </c>
      <c r="AW98" s="3">
        <f>AV98*(1.01)^6</f>
        <v>2.9185399929048681E-3</v>
      </c>
      <c r="AX98" s="3">
        <f>AV98*(1.05)^6</f>
        <v>3.6844545242661424E-3</v>
      </c>
      <c r="AY98" s="3">
        <f>AV98*(1.01)^16</f>
        <v>3.2238838500601775E-3</v>
      </c>
      <c r="AZ98" s="3">
        <f>AV98*(1.05)^16</f>
        <v>6.0015881771829553E-3</v>
      </c>
      <c r="BA98" s="3">
        <f>AV98*(1.01)^26</f>
        <v>3.5611734305323311E-3</v>
      </c>
      <c r="BB98" s="10">
        <f>AV98*(1.05)^26</f>
        <v>9.7759547339443358E-3</v>
      </c>
      <c r="BD98" s="5" t="s">
        <v>49</v>
      </c>
      <c r="BE98" s="3">
        <f>BE103*0.05</f>
        <v>3.8422303719008264E-3</v>
      </c>
      <c r="BF98" s="3">
        <f>BE98*(1.01)^6</f>
        <v>4.0786049630239024E-3</v>
      </c>
      <c r="BG98" s="3">
        <f>BE98*(1.05)^6</f>
        <v>5.1489561716612699E-3</v>
      </c>
      <c r="BH98" s="3">
        <f>BE98*(1.01)^16</f>
        <v>4.5053172829681506E-3</v>
      </c>
      <c r="BI98" s="3">
        <f>BE98*(1.05)^16</f>
        <v>8.3871070415315902E-3</v>
      </c>
      <c r="BJ98" s="3">
        <f>BE98*(1.01)^26</f>
        <v>4.9766731527641122E-3</v>
      </c>
      <c r="BK98" s="10">
        <f>BE98*(1.05)^26</f>
        <v>1.3661713594158052E-2</v>
      </c>
      <c r="BM98" s="5" t="s">
        <v>49</v>
      </c>
      <c r="BN98" s="3">
        <f>BN103*0.05</f>
        <v>6.5916270661157033E-3</v>
      </c>
      <c r="BO98" s="3">
        <f>BN98*(1.01)^6</f>
        <v>6.9971449559287696E-3</v>
      </c>
      <c r="BP98" s="3">
        <f>BN98*(1.05)^6</f>
        <v>8.8334106959274128E-3</v>
      </c>
      <c r="BQ98" s="3">
        <f>BN98*(1.01)^16</f>
        <v>7.7292011330283277E-3</v>
      </c>
      <c r="BR98" s="3">
        <f>BN98*(1.05)^16</f>
        <v>1.4388695218714545E-2</v>
      </c>
      <c r="BS98" s="3">
        <f>BN98*(1.01)^26</f>
        <v>8.5378465832964441E-3</v>
      </c>
      <c r="BT98" s="10">
        <f>BN98*(1.05)^26</f>
        <v>2.3437668328102387E-2</v>
      </c>
    </row>
    <row r="99" spans="2:72" x14ac:dyDescent="0.25">
      <c r="B99" s="5" t="s">
        <v>50</v>
      </c>
      <c r="C99" s="3">
        <f>C103*0.1</f>
        <v>0.18529697520661159</v>
      </c>
      <c r="D99" s="3">
        <f t="shared" ref="D99:D102" si="237">C99*(1.01)^6</f>
        <v>0.19669647302723212</v>
      </c>
      <c r="E99" s="3">
        <f t="shared" ref="E99:E103" si="238">C99*(1.05)^6</f>
        <v>0.24831566869537891</v>
      </c>
      <c r="F99" s="3">
        <f t="shared" ref="F99:F103" si="239">C99*(1.01)^16</f>
        <v>0.21727527609622882</v>
      </c>
      <c r="G99" s="3">
        <f t="shared" ref="G99:G103" si="240">C99*(1.05)^16</f>
        <v>0.40448005848255009</v>
      </c>
      <c r="H99" s="3">
        <f t="shared" ref="H99:H103" si="241">C99*(1.01)^26</f>
        <v>0.24000707728072262</v>
      </c>
      <c r="I99" s="10">
        <f t="shared" ref="I99:I102" si="242">C99*(1.05)^26</f>
        <v>0.65885539390085113</v>
      </c>
      <c r="K99" s="5" t="s">
        <v>50</v>
      </c>
      <c r="L99" s="3">
        <f>L103*0.1</f>
        <v>9.8568504132231408E-2</v>
      </c>
      <c r="M99" s="3">
        <f t="shared" ref="M99:M102" si="243">L99*(1.01)^6</f>
        <v>0.10463245335096159</v>
      </c>
      <c r="N99" s="3">
        <f t="shared" ref="N99:N103" si="244">L99*(1.05)^6</f>
        <v>0.13209122269053061</v>
      </c>
      <c r="O99" s="3">
        <f t="shared" ref="O99:O103" si="245">L99*(1.01)^16</f>
        <v>0.11557932300752791</v>
      </c>
      <c r="P99" s="3">
        <f t="shared" ref="P99:P103" si="246">L99*(1.05)^16</f>
        <v>0.21516268288506779</v>
      </c>
      <c r="Q99" s="3">
        <f t="shared" ref="Q99:Q103" si="247">L99*(1.01)^26</f>
        <v>0.12767147743416363</v>
      </c>
      <c r="R99" s="10">
        <f t="shared" ref="R99:R102" si="248">L99*(1.05)^26</f>
        <v>0.35047733803450554</v>
      </c>
      <c r="T99" s="5" t="s">
        <v>50</v>
      </c>
      <c r="U99" s="3">
        <f>U103*0.1</f>
        <v>8.3443388429752085E-3</v>
      </c>
      <c r="V99" s="3">
        <f t="shared" ref="V99:V102" si="249">U99*(1.01)^6</f>
        <v>8.8576838252608179E-3</v>
      </c>
      <c r="W99" s="3">
        <f t="shared" ref="W99:W103" si="250">U99*(1.05)^6</f>
        <v>1.1182212107368934E-2</v>
      </c>
      <c r="X99" s="3">
        <f t="shared" ref="X99:X103" si="251">U99*(1.01)^16</f>
        <v>9.7843935332800544E-3</v>
      </c>
      <c r="Y99" s="3">
        <f t="shared" ref="Y99:Y103" si="252">U99*(1.05)^16</f>
        <v>1.8214645217178908E-2</v>
      </c>
      <c r="Z99" s="3">
        <f t="shared" ref="Z99:Z103" si="253">U99*(1.01)^26</f>
        <v>1.0808057580591461E-2</v>
      </c>
      <c r="AA99" s="10">
        <f t="shared" ref="AA99:AA102" si="254">U99*(1.05)^26</f>
        <v>2.9669737722920149E-2</v>
      </c>
      <c r="AC99" s="5" t="s">
        <v>50</v>
      </c>
      <c r="AD99" s="3">
        <f>AD103*0.1</f>
        <v>1.002579752066116E-2</v>
      </c>
      <c r="AE99" s="3">
        <f t="shared" ref="AE99:AE102" si="255">AD99*(1.01)^6</f>
        <v>1.0642586094027368E-2</v>
      </c>
      <c r="AF99" s="3">
        <f t="shared" ref="AF99:AF103" si="256">AD99*(1.05)^6</f>
        <v>1.3435527551226952E-2</v>
      </c>
      <c r="AG99" s="3">
        <f t="shared" ref="AG99:AG103" si="257">AD99*(1.01)^16</f>
        <v>1.1756036071056242E-2</v>
      </c>
      <c r="AH99" s="3">
        <f t="shared" ref="AH99:AH103" si="258">AD99*(1.05)^16</f>
        <v>2.1885058636113862E-2</v>
      </c>
      <c r="AI99" s="3">
        <f t="shared" ref="AI99:AI103" si="259">AD99*(1.01)^26</f>
        <v>1.2985977551220934E-2</v>
      </c>
      <c r="AJ99" s="10">
        <f t="shared" ref="AJ99:AJ102" si="260">AD99*(1.05)^26</f>
        <v>3.5648454419075118E-2</v>
      </c>
      <c r="AK99" s="3"/>
      <c r="AL99" s="5" t="s">
        <v>50</v>
      </c>
      <c r="AM99" s="3">
        <f>AM103*0.1</f>
        <v>1.8370136363636366E-2</v>
      </c>
      <c r="AN99" s="3">
        <f t="shared" ref="AN99:AN102" si="261">AM99*(1.01)^6</f>
        <v>1.9500269919288184E-2</v>
      </c>
      <c r="AO99" s="3">
        <f t="shared" si="232"/>
        <v>2.4617739658595882E-2</v>
      </c>
      <c r="AP99" s="3">
        <f t="shared" si="233"/>
        <v>2.1540429604336293E-2</v>
      </c>
      <c r="AQ99" s="3">
        <f t="shared" si="234"/>
        <v>4.009970385329277E-2</v>
      </c>
      <c r="AR99" s="3">
        <f t="shared" si="235"/>
        <v>2.3794035131812392E-2</v>
      </c>
      <c r="AS99" s="10">
        <f t="shared" si="236"/>
        <v>6.531819214199526E-2</v>
      </c>
      <c r="AU99" s="5" t="s">
        <v>50</v>
      </c>
      <c r="AV99" s="3">
        <f>AV103*0.1</f>
        <v>5.4987933884297537E-3</v>
      </c>
      <c r="AW99" s="3">
        <f t="shared" ref="AW99:AW102" si="262">AV99*(1.01)^6</f>
        <v>5.8370799858097362E-3</v>
      </c>
      <c r="AX99" s="3">
        <f t="shared" ref="AX99:AX103" si="263">AV99*(1.05)^6</f>
        <v>7.3689090485322848E-3</v>
      </c>
      <c r="AY99" s="3">
        <f t="shared" ref="AY99:AY103" si="264">AV99*(1.01)^16</f>
        <v>6.447767700120355E-3</v>
      </c>
      <c r="AZ99" s="3">
        <f t="shared" ref="AZ99:AZ103" si="265">AV99*(1.05)^16</f>
        <v>1.2003176354365911E-2</v>
      </c>
      <c r="BA99" s="3">
        <f t="shared" ref="BA99:BA103" si="266">AV99*(1.01)^26</f>
        <v>7.1223468610646622E-3</v>
      </c>
      <c r="BB99" s="10">
        <f t="shared" ref="BB99:BB102" si="267">AV99*(1.05)^26</f>
        <v>1.9551909467888672E-2</v>
      </c>
      <c r="BD99" s="5" t="s">
        <v>50</v>
      </c>
      <c r="BE99" s="3">
        <f>BE103*0.1</f>
        <v>7.6844607438016528E-3</v>
      </c>
      <c r="BF99" s="3">
        <f t="shared" ref="BF99:BF102" si="268">BE99*(1.01)^6</f>
        <v>8.1572099260478047E-3</v>
      </c>
      <c r="BG99" s="3">
        <f t="shared" ref="BG99:BG103" si="269">BE99*(1.05)^6</f>
        <v>1.029791234332254E-2</v>
      </c>
      <c r="BH99" s="3">
        <f t="shared" ref="BH99:BH103" si="270">BE99*(1.01)^16</f>
        <v>9.0106345659363013E-3</v>
      </c>
      <c r="BI99" s="3">
        <f t="shared" ref="BI99:BI103" si="271">BE99*(1.05)^16</f>
        <v>1.677421408306318E-2</v>
      </c>
      <c r="BJ99" s="3">
        <f t="shared" ref="BJ99:BJ103" si="272">BE99*(1.01)^26</f>
        <v>9.9533463055282243E-3</v>
      </c>
      <c r="BK99" s="10">
        <f t="shared" ref="BK99:BK102" si="273">BE99*(1.05)^26</f>
        <v>2.7323427188316103E-2</v>
      </c>
      <c r="BM99" s="5" t="s">
        <v>50</v>
      </c>
      <c r="BN99" s="3">
        <f>BN103*0.1</f>
        <v>1.3183254132231407E-2</v>
      </c>
      <c r="BO99" s="3">
        <f t="shared" ref="BO99:BO102" si="274">BN99*(1.01)^6</f>
        <v>1.3994289911857539E-2</v>
      </c>
      <c r="BP99" s="3">
        <f t="shared" ref="BP99:BP103" si="275">BN99*(1.05)^6</f>
        <v>1.7666821391854826E-2</v>
      </c>
      <c r="BQ99" s="3">
        <f t="shared" ref="BQ99:BQ103" si="276">BN99*(1.01)^16</f>
        <v>1.5458402266056655E-2</v>
      </c>
      <c r="BR99" s="3">
        <f t="shared" ref="BR99:BR103" si="277">BN99*(1.05)^16</f>
        <v>2.8777390437429089E-2</v>
      </c>
      <c r="BS99" s="3">
        <f t="shared" ref="BS99:BS103" si="278">BN99*(1.01)^26</f>
        <v>1.7075693166592888E-2</v>
      </c>
      <c r="BT99" s="10">
        <f t="shared" ref="BT99:BT102" si="279">BN99*(1.05)^26</f>
        <v>4.6875336656204775E-2</v>
      </c>
    </row>
    <row r="100" spans="2:72" x14ac:dyDescent="0.25">
      <c r="B100" s="5" t="s">
        <v>51</v>
      </c>
      <c r="C100" s="3">
        <f>C103*0.25</f>
        <v>0.46324243801652898</v>
      </c>
      <c r="D100" s="3">
        <f t="shared" si="237"/>
        <v>0.4917411825680803</v>
      </c>
      <c r="E100" s="3">
        <f t="shared" si="238"/>
        <v>0.62078917173844728</v>
      </c>
      <c r="F100" s="3">
        <f t="shared" si="239"/>
        <v>0.54318819024057208</v>
      </c>
      <c r="G100" s="3">
        <f t="shared" si="240"/>
        <v>1.0112001462063751</v>
      </c>
      <c r="H100" s="3">
        <f t="shared" si="241"/>
        <v>0.60001769320180653</v>
      </c>
      <c r="I100" s="10">
        <f t="shared" si="242"/>
        <v>1.647138484752128</v>
      </c>
      <c r="K100" s="5" t="s">
        <v>51</v>
      </c>
      <c r="L100" s="3">
        <f>L103*0.25</f>
        <v>0.24642126033057851</v>
      </c>
      <c r="M100" s="3">
        <f t="shared" si="243"/>
        <v>0.26158113337740396</v>
      </c>
      <c r="N100" s="3">
        <f t="shared" si="244"/>
        <v>0.33022805672632649</v>
      </c>
      <c r="O100" s="3">
        <f t="shared" si="245"/>
        <v>0.28894830751881978</v>
      </c>
      <c r="P100" s="3">
        <f t="shared" si="246"/>
        <v>0.53790670721266942</v>
      </c>
      <c r="Q100" s="3">
        <f t="shared" si="247"/>
        <v>0.31917869358540907</v>
      </c>
      <c r="R100" s="10">
        <f t="shared" si="248"/>
        <v>0.87619334508626379</v>
      </c>
      <c r="T100" s="5" t="s">
        <v>51</v>
      </c>
      <c r="U100" s="3">
        <f>U103*0.25</f>
        <v>2.0860847107438019E-2</v>
      </c>
      <c r="V100" s="3">
        <f t="shared" si="249"/>
        <v>2.2144209563152044E-2</v>
      </c>
      <c r="W100" s="3">
        <f t="shared" si="250"/>
        <v>2.7955530268422329E-2</v>
      </c>
      <c r="X100" s="3">
        <f t="shared" si="251"/>
        <v>2.4460983833200133E-2</v>
      </c>
      <c r="Y100" s="3">
        <f t="shared" si="252"/>
        <v>4.5536613042947267E-2</v>
      </c>
      <c r="Z100" s="3">
        <f t="shared" si="253"/>
        <v>2.7020143951478649E-2</v>
      </c>
      <c r="AA100" s="10">
        <f t="shared" si="254"/>
        <v>7.4174344307300369E-2</v>
      </c>
      <c r="AC100" s="5" t="s">
        <v>51</v>
      </c>
      <c r="AD100" s="3">
        <f>AD103*0.25</f>
        <v>2.5064493801652897E-2</v>
      </c>
      <c r="AE100" s="3">
        <f t="shared" si="255"/>
        <v>2.6606465235068419E-2</v>
      </c>
      <c r="AF100" s="3">
        <f t="shared" si="256"/>
        <v>3.3588818878067382E-2</v>
      </c>
      <c r="AG100" s="3">
        <f t="shared" si="257"/>
        <v>2.9390090177640601E-2</v>
      </c>
      <c r="AH100" s="3">
        <f t="shared" si="258"/>
        <v>5.4712646590284658E-2</v>
      </c>
      <c r="AI100" s="3">
        <f t="shared" si="259"/>
        <v>3.2464943878052335E-2</v>
      </c>
      <c r="AJ100" s="10">
        <f t="shared" si="260"/>
        <v>8.9121136047687788E-2</v>
      </c>
      <c r="AK100" s="3"/>
      <c r="AL100" s="5" t="s">
        <v>51</v>
      </c>
      <c r="AM100" s="3">
        <f>AM103*0.25</f>
        <v>4.5925340909090916E-2</v>
      </c>
      <c r="AN100" s="3">
        <f t="shared" si="261"/>
        <v>4.8750674798220463E-2</v>
      </c>
      <c r="AO100" s="3">
        <f t="shared" si="232"/>
        <v>6.1544349146489707E-2</v>
      </c>
      <c r="AP100" s="3">
        <f t="shared" si="233"/>
        <v>5.3851074010840737E-2</v>
      </c>
      <c r="AQ100" s="3">
        <f t="shared" si="234"/>
        <v>0.10024925963323192</v>
      </c>
      <c r="AR100" s="3">
        <f t="shared" si="235"/>
        <v>5.9485087829530985E-2</v>
      </c>
      <c r="AS100" s="10">
        <f t="shared" si="236"/>
        <v>0.16329548035498814</v>
      </c>
      <c r="AU100" s="5" t="s">
        <v>51</v>
      </c>
      <c r="AV100" s="3">
        <f>AV103*0.25</f>
        <v>1.3746983471074383E-2</v>
      </c>
      <c r="AW100" s="3">
        <f t="shared" si="262"/>
        <v>1.459269996452434E-2</v>
      </c>
      <c r="AX100" s="3">
        <f t="shared" si="263"/>
        <v>1.8422272621330713E-2</v>
      </c>
      <c r="AY100" s="3">
        <f t="shared" si="264"/>
        <v>1.6119419250300887E-2</v>
      </c>
      <c r="AZ100" s="3">
        <f t="shared" si="265"/>
        <v>3.0007940885914772E-2</v>
      </c>
      <c r="BA100" s="3">
        <f t="shared" si="266"/>
        <v>1.7805867152661654E-2</v>
      </c>
      <c r="BB100" s="10">
        <f t="shared" si="267"/>
        <v>4.8879773669721675E-2</v>
      </c>
      <c r="BD100" s="5" t="s">
        <v>51</v>
      </c>
      <c r="BE100" s="3">
        <f>BE103*0.25</f>
        <v>1.921115185950413E-2</v>
      </c>
      <c r="BF100" s="3">
        <f t="shared" si="268"/>
        <v>2.0393024815119509E-2</v>
      </c>
      <c r="BG100" s="3">
        <f t="shared" si="269"/>
        <v>2.5744780858306348E-2</v>
      </c>
      <c r="BH100" s="3">
        <f t="shared" si="270"/>
        <v>2.252658641484075E-2</v>
      </c>
      <c r="BI100" s="3">
        <f t="shared" si="271"/>
        <v>4.1935535207657942E-2</v>
      </c>
      <c r="BJ100" s="3">
        <f t="shared" si="272"/>
        <v>2.488336576382056E-2</v>
      </c>
      <c r="BK100" s="10">
        <f t="shared" si="273"/>
        <v>6.8308567970790254E-2</v>
      </c>
      <c r="BM100" s="5" t="s">
        <v>51</v>
      </c>
      <c r="BN100" s="3">
        <f>BN103*0.25</f>
        <v>3.2958135330578515E-2</v>
      </c>
      <c r="BO100" s="3">
        <f t="shared" si="274"/>
        <v>3.4985724779643852E-2</v>
      </c>
      <c r="BP100" s="3">
        <f t="shared" si="275"/>
        <v>4.4167053479637064E-2</v>
      </c>
      <c r="BQ100" s="3">
        <f t="shared" si="276"/>
        <v>3.864600566514164E-2</v>
      </c>
      <c r="BR100" s="3">
        <f t="shared" si="277"/>
        <v>7.1943476093572725E-2</v>
      </c>
      <c r="BS100" s="3">
        <f t="shared" si="278"/>
        <v>4.2689232916482217E-2</v>
      </c>
      <c r="BT100" s="10">
        <f t="shared" si="279"/>
        <v>0.11718834164051194</v>
      </c>
    </row>
    <row r="101" spans="2:72" x14ac:dyDescent="0.25">
      <c r="B101" s="5" t="s">
        <v>52</v>
      </c>
      <c r="C101" s="3">
        <f>C103*0.5</f>
        <v>0.92648487603305796</v>
      </c>
      <c r="D101" s="3">
        <f t="shared" si="237"/>
        <v>0.98348236513616061</v>
      </c>
      <c r="E101" s="3">
        <f t="shared" si="238"/>
        <v>1.2415783434768946</v>
      </c>
      <c r="F101" s="3">
        <f t="shared" si="239"/>
        <v>1.0863763804811442</v>
      </c>
      <c r="G101" s="3">
        <f t="shared" si="240"/>
        <v>2.0224002924127502</v>
      </c>
      <c r="H101" s="3">
        <f t="shared" si="241"/>
        <v>1.2000353864036131</v>
      </c>
      <c r="I101" s="10">
        <f t="shared" si="242"/>
        <v>3.294276969504256</v>
      </c>
      <c r="K101" s="5" t="s">
        <v>52</v>
      </c>
      <c r="L101" s="3">
        <f>L103*0.5</f>
        <v>0.49284252066115702</v>
      </c>
      <c r="M101" s="3">
        <f t="shared" si="243"/>
        <v>0.52316226675480793</v>
      </c>
      <c r="N101" s="3">
        <f t="shared" si="244"/>
        <v>0.66045611345265298</v>
      </c>
      <c r="O101" s="3">
        <f t="shared" si="245"/>
        <v>0.57789661503763956</v>
      </c>
      <c r="P101" s="3">
        <f t="shared" si="246"/>
        <v>1.0758134144253388</v>
      </c>
      <c r="Q101" s="3">
        <f t="shared" si="247"/>
        <v>0.63835738717081814</v>
      </c>
      <c r="R101" s="10">
        <f t="shared" si="248"/>
        <v>1.7523866901725276</v>
      </c>
      <c r="T101" s="5" t="s">
        <v>52</v>
      </c>
      <c r="U101" s="3">
        <f>U103*0.5</f>
        <v>4.1721694214876037E-2</v>
      </c>
      <c r="V101" s="3">
        <f t="shared" si="249"/>
        <v>4.4288419126304088E-2</v>
      </c>
      <c r="W101" s="3">
        <f t="shared" si="250"/>
        <v>5.5911060536844658E-2</v>
      </c>
      <c r="X101" s="3">
        <f t="shared" si="251"/>
        <v>4.8921967666400265E-2</v>
      </c>
      <c r="Y101" s="3">
        <f t="shared" si="252"/>
        <v>9.1073226085894535E-2</v>
      </c>
      <c r="Z101" s="3">
        <f t="shared" si="253"/>
        <v>5.4040287902957299E-2</v>
      </c>
      <c r="AA101" s="10">
        <f t="shared" si="254"/>
        <v>0.14834868861460074</v>
      </c>
      <c r="AC101" s="5" t="s">
        <v>52</v>
      </c>
      <c r="AD101" s="3">
        <f>AD103*0.5</f>
        <v>5.0128987603305794E-2</v>
      </c>
      <c r="AE101" s="3">
        <f t="shared" si="255"/>
        <v>5.3212930470136838E-2</v>
      </c>
      <c r="AF101" s="3">
        <f t="shared" si="256"/>
        <v>6.7177637756134764E-2</v>
      </c>
      <c r="AG101" s="3">
        <f t="shared" si="257"/>
        <v>5.8780180355281202E-2</v>
      </c>
      <c r="AH101" s="3">
        <f t="shared" si="258"/>
        <v>0.10942529318056932</v>
      </c>
      <c r="AI101" s="3">
        <f t="shared" si="259"/>
        <v>6.4929887756104671E-2</v>
      </c>
      <c r="AJ101" s="10">
        <f t="shared" si="260"/>
        <v>0.17824227209537558</v>
      </c>
      <c r="AK101" s="3"/>
      <c r="AL101" s="5" t="s">
        <v>52</v>
      </c>
      <c r="AM101" s="3">
        <f>AM103*0.5</f>
        <v>9.1850681818181831E-2</v>
      </c>
      <c r="AN101" s="3">
        <f t="shared" si="261"/>
        <v>9.7501349596440925E-2</v>
      </c>
      <c r="AO101" s="3">
        <f t="shared" si="232"/>
        <v>0.12308869829297941</v>
      </c>
      <c r="AP101" s="3">
        <f t="shared" si="233"/>
        <v>0.10770214802168147</v>
      </c>
      <c r="AQ101" s="3">
        <f t="shared" si="234"/>
        <v>0.20049851926646384</v>
      </c>
      <c r="AR101" s="3">
        <f t="shared" si="235"/>
        <v>0.11897017565906197</v>
      </c>
      <c r="AS101" s="10">
        <f t="shared" si="236"/>
        <v>0.32659096070997629</v>
      </c>
      <c r="AU101" s="5" t="s">
        <v>52</v>
      </c>
      <c r="AV101" s="3">
        <f>AV103*0.5</f>
        <v>2.7493966942148767E-2</v>
      </c>
      <c r="AW101" s="3">
        <f t="shared" si="262"/>
        <v>2.9185399929048679E-2</v>
      </c>
      <c r="AX101" s="3">
        <f t="shared" si="263"/>
        <v>3.6844545242661425E-2</v>
      </c>
      <c r="AY101" s="3">
        <f t="shared" si="264"/>
        <v>3.2238838500601774E-2</v>
      </c>
      <c r="AZ101" s="3">
        <f t="shared" si="265"/>
        <v>6.0015881771829545E-2</v>
      </c>
      <c r="BA101" s="3">
        <f t="shared" si="266"/>
        <v>3.5611734305323307E-2</v>
      </c>
      <c r="BB101" s="10">
        <f t="shared" si="267"/>
        <v>9.7759547339443351E-2</v>
      </c>
      <c r="BD101" s="5" t="s">
        <v>52</v>
      </c>
      <c r="BE101" s="3">
        <f>BE103*0.5</f>
        <v>3.8422303719008261E-2</v>
      </c>
      <c r="BF101" s="3">
        <f t="shared" si="268"/>
        <v>4.0786049630239019E-2</v>
      </c>
      <c r="BG101" s="3">
        <f t="shared" si="269"/>
        <v>5.1489561716612696E-2</v>
      </c>
      <c r="BH101" s="3">
        <f t="shared" si="270"/>
        <v>4.50531728296815E-2</v>
      </c>
      <c r="BI101" s="3">
        <f t="shared" si="271"/>
        <v>8.3871070415315885E-2</v>
      </c>
      <c r="BJ101" s="3">
        <f t="shared" si="272"/>
        <v>4.976673152764112E-2</v>
      </c>
      <c r="BK101" s="10">
        <f t="shared" si="273"/>
        <v>0.13661713594158051</v>
      </c>
      <c r="BM101" s="5" t="s">
        <v>52</v>
      </c>
      <c r="BN101" s="3">
        <f>BN103*0.5</f>
        <v>6.5916270661157031E-2</v>
      </c>
      <c r="BO101" s="3">
        <f t="shared" si="274"/>
        <v>6.9971449559287704E-2</v>
      </c>
      <c r="BP101" s="3">
        <f t="shared" si="275"/>
        <v>8.8334106959274128E-2</v>
      </c>
      <c r="BQ101" s="3">
        <f t="shared" si="276"/>
        <v>7.7292011330283281E-2</v>
      </c>
      <c r="BR101" s="3">
        <f t="shared" si="277"/>
        <v>0.14388695218714545</v>
      </c>
      <c r="BS101" s="3">
        <f t="shared" si="278"/>
        <v>8.5378465832964434E-2</v>
      </c>
      <c r="BT101" s="10">
        <f t="shared" si="279"/>
        <v>0.23437668328102387</v>
      </c>
    </row>
    <row r="102" spans="2:72" x14ac:dyDescent="0.25">
      <c r="B102" s="5" t="s">
        <v>53</v>
      </c>
      <c r="C102" s="3">
        <f>C103*0.75</f>
        <v>1.3897273140495869</v>
      </c>
      <c r="D102" s="3">
        <f t="shared" si="237"/>
        <v>1.475223547704241</v>
      </c>
      <c r="E102" s="3">
        <f t="shared" si="238"/>
        <v>1.8623675152153418</v>
      </c>
      <c r="F102" s="3">
        <f t="shared" si="239"/>
        <v>1.6295645707217163</v>
      </c>
      <c r="G102" s="3">
        <f t="shared" si="240"/>
        <v>3.0336004386191258</v>
      </c>
      <c r="H102" s="3">
        <f t="shared" si="241"/>
        <v>1.8000530796054197</v>
      </c>
      <c r="I102" s="10">
        <f t="shared" si="242"/>
        <v>4.9414154542563837</v>
      </c>
      <c r="K102" s="5" t="s">
        <v>53</v>
      </c>
      <c r="L102" s="3">
        <f>L103*0.75</f>
        <v>0.73926378099173551</v>
      </c>
      <c r="M102" s="3">
        <f t="shared" si="243"/>
        <v>0.78474340013221189</v>
      </c>
      <c r="N102" s="3">
        <f t="shared" si="244"/>
        <v>0.99068417017897947</v>
      </c>
      <c r="O102" s="3">
        <f t="shared" si="245"/>
        <v>0.86684492255645929</v>
      </c>
      <c r="P102" s="3">
        <f t="shared" si="246"/>
        <v>1.6137201216380084</v>
      </c>
      <c r="Q102" s="3">
        <f t="shared" si="247"/>
        <v>0.9575360807562272</v>
      </c>
      <c r="R102" s="10">
        <f t="shared" si="248"/>
        <v>2.6285800352587914</v>
      </c>
      <c r="T102" s="5" t="s">
        <v>53</v>
      </c>
      <c r="U102" s="3">
        <f>U103*0.75</f>
        <v>6.2582541322314056E-2</v>
      </c>
      <c r="V102" s="3">
        <f t="shared" si="249"/>
        <v>6.6432628689456125E-2</v>
      </c>
      <c r="W102" s="3">
        <f t="shared" si="250"/>
        <v>8.3866590805266983E-2</v>
      </c>
      <c r="X102" s="3">
        <f t="shared" si="251"/>
        <v>7.3382951499600405E-2</v>
      </c>
      <c r="Y102" s="3">
        <f t="shared" si="252"/>
        <v>0.13660983912884181</v>
      </c>
      <c r="Z102" s="3">
        <f t="shared" si="253"/>
        <v>8.1060431854435955E-2</v>
      </c>
      <c r="AA102" s="10">
        <f t="shared" si="254"/>
        <v>0.22252303292190109</v>
      </c>
      <c r="AC102" s="5" t="s">
        <v>53</v>
      </c>
      <c r="AD102" s="3">
        <f>AD103*0.75</f>
        <v>7.5193481404958684E-2</v>
      </c>
      <c r="AE102" s="3">
        <f t="shared" si="255"/>
        <v>7.9819395705205243E-2</v>
      </c>
      <c r="AF102" s="3">
        <f t="shared" si="256"/>
        <v>0.10076645663420213</v>
      </c>
      <c r="AG102" s="3">
        <f t="shared" si="257"/>
        <v>8.8170270532921799E-2</v>
      </c>
      <c r="AH102" s="3">
        <f t="shared" si="258"/>
        <v>0.16413793977085395</v>
      </c>
      <c r="AI102" s="3">
        <f t="shared" si="259"/>
        <v>9.7394831634156992E-2</v>
      </c>
      <c r="AJ102" s="10">
        <f t="shared" si="260"/>
        <v>0.26736340814306331</v>
      </c>
      <c r="AK102" s="3"/>
      <c r="AL102" s="5" t="s">
        <v>53</v>
      </c>
      <c r="AM102" s="3">
        <f>AM103*0.75</f>
        <v>0.13777602272727274</v>
      </c>
      <c r="AN102" s="3">
        <f t="shared" si="261"/>
        <v>0.14625202439466137</v>
      </c>
      <c r="AO102" s="3">
        <f t="shared" si="232"/>
        <v>0.18463304743946912</v>
      </c>
      <c r="AP102" s="3">
        <f t="shared" si="233"/>
        <v>0.1615532220325222</v>
      </c>
      <c r="AQ102" s="3">
        <f t="shared" si="234"/>
        <v>0.30074777889969573</v>
      </c>
      <c r="AR102" s="3">
        <f t="shared" si="235"/>
        <v>0.17845526348859295</v>
      </c>
      <c r="AS102" s="10">
        <f t="shared" si="236"/>
        <v>0.48988644106496443</v>
      </c>
      <c r="AU102" s="5" t="s">
        <v>53</v>
      </c>
      <c r="AV102" s="3">
        <f>AV103*0.75</f>
        <v>4.1240950413223149E-2</v>
      </c>
      <c r="AW102" s="3">
        <f t="shared" si="262"/>
        <v>4.3778099893573015E-2</v>
      </c>
      <c r="AX102" s="3">
        <f t="shared" si="263"/>
        <v>5.5266817863992131E-2</v>
      </c>
      <c r="AY102" s="3">
        <f t="shared" si="264"/>
        <v>4.8358257750902654E-2</v>
      </c>
      <c r="AZ102" s="3">
        <f t="shared" si="265"/>
        <v>9.0023822657744321E-2</v>
      </c>
      <c r="BA102" s="3">
        <f t="shared" si="266"/>
        <v>5.3417601457984958E-2</v>
      </c>
      <c r="BB102" s="10">
        <f t="shared" si="267"/>
        <v>0.14663932100916502</v>
      </c>
      <c r="BD102" s="5" t="s">
        <v>53</v>
      </c>
      <c r="BE102" s="3">
        <f>BE103*0.75</f>
        <v>5.7633455578512391E-2</v>
      </c>
      <c r="BF102" s="3">
        <f t="shared" si="268"/>
        <v>6.1179074445358528E-2</v>
      </c>
      <c r="BG102" s="3">
        <f t="shared" si="269"/>
        <v>7.723434257491904E-2</v>
      </c>
      <c r="BH102" s="3">
        <f t="shared" si="270"/>
        <v>6.7579759244522253E-2</v>
      </c>
      <c r="BI102" s="3">
        <f t="shared" si="271"/>
        <v>0.12580660562297383</v>
      </c>
      <c r="BJ102" s="3">
        <f t="shared" si="272"/>
        <v>7.4650097291461687E-2</v>
      </c>
      <c r="BK102" s="10">
        <f t="shared" si="273"/>
        <v>0.20492570391237075</v>
      </c>
      <c r="BM102" s="5" t="s">
        <v>53</v>
      </c>
      <c r="BN102" s="3">
        <f>BN103*0.75</f>
        <v>9.8874405991735553E-2</v>
      </c>
      <c r="BO102" s="3">
        <f t="shared" si="274"/>
        <v>0.10495717433893155</v>
      </c>
      <c r="BP102" s="3">
        <f t="shared" si="275"/>
        <v>0.13250116043891119</v>
      </c>
      <c r="BQ102" s="3">
        <f t="shared" si="276"/>
        <v>0.11593801699542491</v>
      </c>
      <c r="BR102" s="3">
        <f t="shared" si="277"/>
        <v>0.21583042828071819</v>
      </c>
      <c r="BS102" s="3">
        <f t="shared" si="278"/>
        <v>0.12806769874944665</v>
      </c>
      <c r="BT102" s="10">
        <f t="shared" si="279"/>
        <v>0.3515650249215358</v>
      </c>
    </row>
    <row r="103" spans="2:72" ht="15.75" thickBot="1" x14ac:dyDescent="0.3">
      <c r="B103" s="6" t="s">
        <v>54</v>
      </c>
      <c r="C103" s="11">
        <f>C46*($C$18/$C$23)/$D$23</f>
        <v>1.8529697520661159</v>
      </c>
      <c r="D103" s="11">
        <f>C103*(1.01)^6</f>
        <v>1.9669647302723212</v>
      </c>
      <c r="E103" s="11">
        <f t="shared" si="238"/>
        <v>2.4831566869537891</v>
      </c>
      <c r="F103" s="11">
        <f t="shared" si="239"/>
        <v>2.1727527609622883</v>
      </c>
      <c r="G103" s="11">
        <f t="shared" si="240"/>
        <v>4.0448005848255004</v>
      </c>
      <c r="H103" s="11">
        <f t="shared" si="241"/>
        <v>2.4000707728072261</v>
      </c>
      <c r="I103" s="12">
        <f>C103*(1.05)^26</f>
        <v>6.5885539390085119</v>
      </c>
      <c r="K103" s="6" t="s">
        <v>54</v>
      </c>
      <c r="L103" s="11">
        <f>L46*($C$18/$C$23)/$D$23</f>
        <v>0.98568504132231405</v>
      </c>
      <c r="M103" s="11">
        <f>L103*(1.01)^6</f>
        <v>1.0463245335096159</v>
      </c>
      <c r="N103" s="11">
        <f t="shared" si="244"/>
        <v>1.320912226905306</v>
      </c>
      <c r="O103" s="11">
        <f t="shared" si="245"/>
        <v>1.1557932300752791</v>
      </c>
      <c r="P103" s="11">
        <f t="shared" si="246"/>
        <v>2.1516268288506777</v>
      </c>
      <c r="Q103" s="11">
        <f t="shared" si="247"/>
        <v>1.2767147743416363</v>
      </c>
      <c r="R103" s="12">
        <f>L103*(1.05)^26</f>
        <v>3.5047733803450551</v>
      </c>
      <c r="T103" s="6" t="s">
        <v>54</v>
      </c>
      <c r="U103" s="11">
        <f>U46*($C$18/$C$23)/$D$23</f>
        <v>8.3443388429752074E-2</v>
      </c>
      <c r="V103" s="11">
        <f>U103*(1.01)^6</f>
        <v>8.8576838252608175E-2</v>
      </c>
      <c r="W103" s="11">
        <f t="shared" si="250"/>
        <v>0.11182212107368932</v>
      </c>
      <c r="X103" s="11">
        <f t="shared" si="251"/>
        <v>9.784393533280053E-2</v>
      </c>
      <c r="Y103" s="11">
        <f t="shared" si="252"/>
        <v>0.18214645217178907</v>
      </c>
      <c r="Z103" s="11">
        <f t="shared" si="253"/>
        <v>0.1080805758059146</v>
      </c>
      <c r="AA103" s="12">
        <f>U103*(1.05)^26</f>
        <v>0.29669737722920148</v>
      </c>
      <c r="AC103" s="6" t="s">
        <v>54</v>
      </c>
      <c r="AD103" s="11">
        <f>AD46*($C$18/$C$23)/$D$23</f>
        <v>0.10025797520661159</v>
      </c>
      <c r="AE103" s="11">
        <f>AD103*(1.01)^6</f>
        <v>0.10642586094027368</v>
      </c>
      <c r="AF103" s="11">
        <f t="shared" si="256"/>
        <v>0.13435527551226953</v>
      </c>
      <c r="AG103" s="11">
        <f t="shared" si="257"/>
        <v>0.1175603607105624</v>
      </c>
      <c r="AH103" s="11">
        <f t="shared" si="258"/>
        <v>0.21885058636113863</v>
      </c>
      <c r="AI103" s="11">
        <f t="shared" si="259"/>
        <v>0.12985977551220934</v>
      </c>
      <c r="AJ103" s="12">
        <f>AD103*(1.05)^26</f>
        <v>0.35648454419075115</v>
      </c>
      <c r="AK103" s="3"/>
      <c r="AL103" s="6" t="s">
        <v>54</v>
      </c>
      <c r="AM103" s="11">
        <f>AM46*($C$18/$C$23)/$D$23</f>
        <v>0.18370136363636366</v>
      </c>
      <c r="AN103" s="11">
        <f>AM103*(1.01)^6</f>
        <v>0.19500269919288185</v>
      </c>
      <c r="AO103" s="11">
        <f t="shared" si="232"/>
        <v>0.24617739658595883</v>
      </c>
      <c r="AP103" s="11">
        <f t="shared" si="233"/>
        <v>0.21540429604336295</v>
      </c>
      <c r="AQ103" s="11">
        <f t="shared" si="234"/>
        <v>0.40099703853292767</v>
      </c>
      <c r="AR103" s="11">
        <f t="shared" si="235"/>
        <v>0.23794035131812394</v>
      </c>
      <c r="AS103" s="12">
        <f t="shared" si="236"/>
        <v>0.65318192141995257</v>
      </c>
      <c r="AU103" s="6" t="s">
        <v>54</v>
      </c>
      <c r="AV103" s="11">
        <f>AV46*($C$18/$C$23)/$D$23</f>
        <v>5.4987933884297534E-2</v>
      </c>
      <c r="AW103" s="11">
        <f>AV103*(1.01)^6</f>
        <v>5.8370799858097358E-2</v>
      </c>
      <c r="AX103" s="11">
        <f t="shared" si="263"/>
        <v>7.368909048532285E-2</v>
      </c>
      <c r="AY103" s="11">
        <f t="shared" si="264"/>
        <v>6.4477677001203548E-2</v>
      </c>
      <c r="AZ103" s="11">
        <f t="shared" si="265"/>
        <v>0.12003176354365909</v>
      </c>
      <c r="BA103" s="11">
        <f t="shared" si="266"/>
        <v>7.1223468610646615E-2</v>
      </c>
      <c r="BB103" s="12">
        <f>AV103*(1.05)^26</f>
        <v>0.1955190946788867</v>
      </c>
      <c r="BD103" s="6" t="s">
        <v>54</v>
      </c>
      <c r="BE103" s="11">
        <f>BE46*($C$18/$C$23)/$D$23</f>
        <v>7.6844607438016521E-2</v>
      </c>
      <c r="BF103" s="11">
        <f>BE103*(1.01)^6</f>
        <v>8.1572099260478037E-2</v>
      </c>
      <c r="BG103" s="11">
        <f t="shared" si="269"/>
        <v>0.10297912343322539</v>
      </c>
      <c r="BH103" s="11">
        <f t="shared" si="270"/>
        <v>9.0106345659362999E-2</v>
      </c>
      <c r="BI103" s="11">
        <f t="shared" si="271"/>
        <v>0.16774214083063177</v>
      </c>
      <c r="BJ103" s="11">
        <f t="shared" si="272"/>
        <v>9.953346305528224E-2</v>
      </c>
      <c r="BK103" s="12">
        <f>BE103*(1.05)^26</f>
        <v>0.27323427188316102</v>
      </c>
      <c r="BM103" s="6" t="s">
        <v>54</v>
      </c>
      <c r="BN103" s="11">
        <f>BN46*($C$18/$C$23)/$D$23</f>
        <v>0.13183254132231406</v>
      </c>
      <c r="BO103" s="11">
        <f>BN103*(1.01)^6</f>
        <v>0.13994289911857541</v>
      </c>
      <c r="BP103" s="11">
        <f t="shared" si="275"/>
        <v>0.17666821391854826</v>
      </c>
      <c r="BQ103" s="11">
        <f t="shared" si="276"/>
        <v>0.15458402266056656</v>
      </c>
      <c r="BR103" s="11">
        <f t="shared" si="277"/>
        <v>0.2877739043742909</v>
      </c>
      <c r="BS103" s="11">
        <f t="shared" si="278"/>
        <v>0.17075693166592887</v>
      </c>
      <c r="BT103" s="12">
        <f>BN103*(1.05)^26</f>
        <v>0.46875336656204775</v>
      </c>
    </row>
    <row r="105" spans="2:72" ht="18.75" x14ac:dyDescent="0.3">
      <c r="B105" s="22" t="s">
        <v>62</v>
      </c>
    </row>
    <row r="106" spans="2:72" ht="15.75" thickBot="1" x14ac:dyDescent="0.3"/>
    <row r="107" spans="2:72" ht="15.75" thickBot="1" x14ac:dyDescent="0.3">
      <c r="B107" s="34" t="s">
        <v>56</v>
      </c>
      <c r="C107" s="35"/>
      <c r="D107" s="35"/>
      <c r="E107" s="35"/>
      <c r="F107" s="35"/>
      <c r="G107" s="35"/>
      <c r="H107" s="35"/>
      <c r="I107" s="36"/>
      <c r="K107" s="49" t="s">
        <v>56</v>
      </c>
      <c r="L107" s="50"/>
      <c r="M107" s="50"/>
      <c r="N107" s="50"/>
      <c r="O107" s="50"/>
      <c r="P107" s="50"/>
      <c r="Q107" s="50"/>
      <c r="R107" s="51"/>
      <c r="T107" s="52" t="s">
        <v>56</v>
      </c>
      <c r="U107" s="53"/>
      <c r="V107" s="53"/>
      <c r="W107" s="53"/>
      <c r="X107" s="53"/>
      <c r="Y107" s="53"/>
      <c r="Z107" s="53"/>
      <c r="AA107" s="54"/>
      <c r="AC107" s="52" t="s">
        <v>56</v>
      </c>
      <c r="AD107" s="53"/>
      <c r="AE107" s="53"/>
      <c r="AF107" s="53"/>
      <c r="AG107" s="53"/>
      <c r="AH107" s="53"/>
      <c r="AI107" s="53"/>
      <c r="AJ107" s="54"/>
      <c r="AK107" s="3"/>
      <c r="AL107" s="52" t="s">
        <v>56</v>
      </c>
      <c r="AM107" s="53"/>
      <c r="AN107" s="53"/>
      <c r="AO107" s="53"/>
      <c r="AP107" s="53"/>
      <c r="AQ107" s="53"/>
      <c r="AR107" s="53"/>
      <c r="AS107" s="54"/>
      <c r="AU107" s="45" t="s">
        <v>56</v>
      </c>
      <c r="AV107" s="46"/>
      <c r="AW107" s="46"/>
      <c r="AX107" s="46"/>
      <c r="AY107" s="46"/>
      <c r="AZ107" s="46"/>
      <c r="BA107" s="46"/>
      <c r="BB107" s="47"/>
      <c r="BD107" s="45" t="s">
        <v>56</v>
      </c>
      <c r="BE107" s="46"/>
      <c r="BF107" s="46"/>
      <c r="BG107" s="46"/>
      <c r="BH107" s="46"/>
      <c r="BI107" s="46"/>
      <c r="BJ107" s="46"/>
      <c r="BK107" s="47"/>
      <c r="BM107" s="45" t="s">
        <v>56</v>
      </c>
      <c r="BN107" s="46"/>
      <c r="BO107" s="46"/>
      <c r="BP107" s="46"/>
      <c r="BQ107" s="46"/>
      <c r="BR107" s="46"/>
      <c r="BS107" s="46"/>
      <c r="BT107" s="47"/>
    </row>
    <row r="108" spans="2:72" x14ac:dyDescent="0.25">
      <c r="B108" s="7" t="s">
        <v>44</v>
      </c>
      <c r="C108" s="325" t="s">
        <v>63</v>
      </c>
      <c r="D108" s="325"/>
      <c r="E108" s="325"/>
      <c r="F108" s="325"/>
      <c r="G108" s="325"/>
      <c r="H108" s="325"/>
      <c r="I108" s="326"/>
      <c r="K108" s="7" t="s">
        <v>44</v>
      </c>
      <c r="L108" s="325" t="s">
        <v>63</v>
      </c>
      <c r="M108" s="325"/>
      <c r="N108" s="325"/>
      <c r="O108" s="325"/>
      <c r="P108" s="325"/>
      <c r="Q108" s="325"/>
      <c r="R108" s="326"/>
      <c r="T108" s="7" t="s">
        <v>44</v>
      </c>
      <c r="U108" s="325" t="s">
        <v>63</v>
      </c>
      <c r="V108" s="325"/>
      <c r="W108" s="325"/>
      <c r="X108" s="325"/>
      <c r="Y108" s="325"/>
      <c r="Z108" s="325"/>
      <c r="AA108" s="326"/>
      <c r="AC108" s="7" t="s">
        <v>44</v>
      </c>
      <c r="AD108" s="325" t="s">
        <v>63</v>
      </c>
      <c r="AE108" s="325"/>
      <c r="AF108" s="325"/>
      <c r="AG108" s="325"/>
      <c r="AH108" s="325"/>
      <c r="AI108" s="325"/>
      <c r="AJ108" s="326"/>
      <c r="AK108" s="3"/>
      <c r="AL108" s="7" t="s">
        <v>44</v>
      </c>
      <c r="AM108" s="325" t="s">
        <v>63</v>
      </c>
      <c r="AN108" s="325"/>
      <c r="AO108" s="325"/>
      <c r="AP108" s="325"/>
      <c r="AQ108" s="325"/>
      <c r="AR108" s="325"/>
      <c r="AS108" s="326"/>
      <c r="AU108" s="7" t="s">
        <v>44</v>
      </c>
      <c r="AV108" s="325" t="s">
        <v>63</v>
      </c>
      <c r="AW108" s="325"/>
      <c r="AX108" s="325"/>
      <c r="AY108" s="325"/>
      <c r="AZ108" s="325"/>
      <c r="BA108" s="325"/>
      <c r="BB108" s="326"/>
      <c r="BD108" s="7" t="s">
        <v>44</v>
      </c>
      <c r="BE108" s="325" t="s">
        <v>63</v>
      </c>
      <c r="BF108" s="325"/>
      <c r="BG108" s="325"/>
      <c r="BH108" s="325"/>
      <c r="BI108" s="325"/>
      <c r="BJ108" s="325"/>
      <c r="BK108" s="326"/>
      <c r="BM108" s="7" t="s">
        <v>44</v>
      </c>
      <c r="BN108" s="325" t="s">
        <v>63</v>
      </c>
      <c r="BO108" s="325"/>
      <c r="BP108" s="325"/>
      <c r="BQ108" s="325"/>
      <c r="BR108" s="325"/>
      <c r="BS108" s="325"/>
      <c r="BT108" s="326"/>
    </row>
    <row r="109" spans="2:72" x14ac:dyDescent="0.25">
      <c r="B109" s="5"/>
      <c r="C109" s="3" t="s">
        <v>46</v>
      </c>
      <c r="I109" s="10"/>
      <c r="K109" s="5"/>
      <c r="L109" s="3" t="s">
        <v>46</v>
      </c>
      <c r="M109" s="3"/>
      <c r="N109" s="3"/>
      <c r="O109" s="3"/>
      <c r="P109" s="3"/>
      <c r="Q109" s="3"/>
      <c r="R109" s="10"/>
      <c r="T109" s="5"/>
      <c r="U109" s="3" t="s">
        <v>46</v>
      </c>
      <c r="V109" s="3"/>
      <c r="W109" s="3"/>
      <c r="X109" s="3"/>
      <c r="Y109" s="3"/>
      <c r="Z109" s="3"/>
      <c r="AA109" s="10"/>
      <c r="AC109" s="5"/>
      <c r="AD109" s="3" t="s">
        <v>46</v>
      </c>
      <c r="AE109" s="3"/>
      <c r="AF109" s="3"/>
      <c r="AG109" s="3"/>
      <c r="AH109" s="3"/>
      <c r="AI109" s="3"/>
      <c r="AJ109" s="10"/>
      <c r="AK109" s="3"/>
      <c r="AL109" s="5"/>
      <c r="AM109" s="3" t="s">
        <v>46</v>
      </c>
      <c r="AN109" s="3"/>
      <c r="AO109" s="3"/>
      <c r="AP109" s="3"/>
      <c r="AQ109" s="3"/>
      <c r="AR109" s="3"/>
      <c r="AS109" s="10"/>
      <c r="AU109" s="5"/>
      <c r="AV109" s="3" t="s">
        <v>46</v>
      </c>
      <c r="AW109" s="3"/>
      <c r="AX109" s="3"/>
      <c r="AY109" s="3"/>
      <c r="AZ109" s="3"/>
      <c r="BA109" s="3"/>
      <c r="BB109" s="10"/>
      <c r="BD109" s="5"/>
      <c r="BE109" s="3" t="s">
        <v>46</v>
      </c>
      <c r="BF109" s="3"/>
      <c r="BG109" s="3"/>
      <c r="BH109" s="3"/>
      <c r="BI109" s="3"/>
      <c r="BJ109" s="3"/>
      <c r="BK109" s="10"/>
      <c r="BM109" s="5"/>
      <c r="BN109" s="3" t="s">
        <v>46</v>
      </c>
      <c r="BO109" s="3"/>
      <c r="BP109" s="3"/>
      <c r="BQ109" s="3"/>
      <c r="BR109" s="3"/>
      <c r="BS109" s="3"/>
      <c r="BT109" s="10"/>
    </row>
    <row r="110" spans="2:72" ht="15.75" thickBot="1" x14ac:dyDescent="0.3">
      <c r="B110" s="6"/>
      <c r="C110" s="11"/>
      <c r="D110" s="11" t="s">
        <v>47</v>
      </c>
      <c r="E110" s="11" t="s">
        <v>48</v>
      </c>
      <c r="F110" s="11" t="s">
        <v>47</v>
      </c>
      <c r="G110" s="11" t="s">
        <v>48</v>
      </c>
      <c r="H110" s="11" t="s">
        <v>47</v>
      </c>
      <c r="I110" s="12" t="s">
        <v>48</v>
      </c>
      <c r="K110" s="6"/>
      <c r="L110" s="11"/>
      <c r="M110" s="11" t="s">
        <v>47</v>
      </c>
      <c r="N110" s="11" t="s">
        <v>48</v>
      </c>
      <c r="O110" s="11" t="s">
        <v>47</v>
      </c>
      <c r="P110" s="11" t="s">
        <v>48</v>
      </c>
      <c r="Q110" s="11" t="s">
        <v>47</v>
      </c>
      <c r="R110" s="12" t="s">
        <v>48</v>
      </c>
      <c r="T110" s="6"/>
      <c r="U110" s="11"/>
      <c r="V110" s="11" t="s">
        <v>47</v>
      </c>
      <c r="W110" s="11" t="s">
        <v>48</v>
      </c>
      <c r="X110" s="11" t="s">
        <v>47</v>
      </c>
      <c r="Y110" s="11" t="s">
        <v>48</v>
      </c>
      <c r="Z110" s="11" t="s">
        <v>47</v>
      </c>
      <c r="AA110" s="12" t="s">
        <v>48</v>
      </c>
      <c r="AC110" s="6"/>
      <c r="AD110" s="11"/>
      <c r="AE110" s="11" t="s">
        <v>47</v>
      </c>
      <c r="AF110" s="11" t="s">
        <v>48</v>
      </c>
      <c r="AG110" s="11" t="s">
        <v>47</v>
      </c>
      <c r="AH110" s="11" t="s">
        <v>48</v>
      </c>
      <c r="AI110" s="11" t="s">
        <v>47</v>
      </c>
      <c r="AJ110" s="12" t="s">
        <v>48</v>
      </c>
      <c r="AK110" s="3"/>
      <c r="AL110" s="6"/>
      <c r="AM110" s="11"/>
      <c r="AN110" s="11" t="s">
        <v>47</v>
      </c>
      <c r="AO110" s="11" t="s">
        <v>48</v>
      </c>
      <c r="AP110" s="11" t="s">
        <v>47</v>
      </c>
      <c r="AQ110" s="11" t="s">
        <v>48</v>
      </c>
      <c r="AR110" s="11" t="s">
        <v>47</v>
      </c>
      <c r="AS110" s="12" t="s">
        <v>48</v>
      </c>
      <c r="AU110" s="6"/>
      <c r="AV110" s="11"/>
      <c r="AW110" s="11" t="s">
        <v>47</v>
      </c>
      <c r="AX110" s="11" t="s">
        <v>48</v>
      </c>
      <c r="AY110" s="11" t="s">
        <v>47</v>
      </c>
      <c r="AZ110" s="11" t="s">
        <v>48</v>
      </c>
      <c r="BA110" s="11" t="s">
        <v>47</v>
      </c>
      <c r="BB110" s="12" t="s">
        <v>48</v>
      </c>
      <c r="BD110" s="6"/>
      <c r="BE110" s="11"/>
      <c r="BF110" s="11" t="s">
        <v>47</v>
      </c>
      <c r="BG110" s="11" t="s">
        <v>48</v>
      </c>
      <c r="BH110" s="11" t="s">
        <v>47</v>
      </c>
      <c r="BI110" s="11" t="s">
        <v>48</v>
      </c>
      <c r="BJ110" s="11" t="s">
        <v>47</v>
      </c>
      <c r="BK110" s="12" t="s">
        <v>48</v>
      </c>
      <c r="BM110" s="6"/>
      <c r="BN110" s="11"/>
      <c r="BO110" s="11" t="s">
        <v>47</v>
      </c>
      <c r="BP110" s="11" t="s">
        <v>48</v>
      </c>
      <c r="BQ110" s="11" t="s">
        <v>47</v>
      </c>
      <c r="BR110" s="11" t="s">
        <v>48</v>
      </c>
      <c r="BS110" s="11" t="s">
        <v>47</v>
      </c>
      <c r="BT110" s="12" t="s">
        <v>48</v>
      </c>
    </row>
    <row r="111" spans="2:72" x14ac:dyDescent="0.25">
      <c r="B111" s="5" t="s">
        <v>49</v>
      </c>
      <c r="C111" s="3">
        <f t="shared" ref="C111:C116" si="280">C54/$E$19</f>
        <v>1.6377642536128767</v>
      </c>
      <c r="D111" s="3">
        <f t="shared" ref="D111:I111" si="281">D54/$E$19</f>
        <v>1.7385197571440754</v>
      </c>
      <c r="E111" s="3">
        <f t="shared" si="281"/>
        <v>2.1947607366380733</v>
      </c>
      <c r="F111" s="3">
        <f t="shared" si="281"/>
        <v>1.9204073892058602</v>
      </c>
      <c r="G111" s="3">
        <f t="shared" si="281"/>
        <v>3.5750339709718575</v>
      </c>
      <c r="H111" s="3">
        <f t="shared" si="281"/>
        <v>2.1213244919199599</v>
      </c>
      <c r="I111" s="10">
        <f t="shared" si="281"/>
        <v>5.823353625862878</v>
      </c>
      <c r="K111" s="5" t="s">
        <v>49</v>
      </c>
      <c r="L111" s="3">
        <f>L54/$E$19</f>
        <v>0.87120673405413285</v>
      </c>
      <c r="M111" s="3">
        <f t="shared" ref="M111:R111" si="282">M54/$E$19</f>
        <v>0.92480350353774854</v>
      </c>
      <c r="N111" s="3">
        <f t="shared" si="282"/>
        <v>1.1675003463890872</v>
      </c>
      <c r="O111" s="3">
        <f t="shared" si="282"/>
        <v>1.0215584116655965</v>
      </c>
      <c r="P111" s="3">
        <f t="shared" si="282"/>
        <v>1.9017350409939864</v>
      </c>
      <c r="Q111" s="3">
        <f t="shared" si="282"/>
        <v>1.1284360239257456</v>
      </c>
      <c r="R111" s="10">
        <f t="shared" si="282"/>
        <v>3.0977259898294816</v>
      </c>
      <c r="T111" s="5" t="s">
        <v>49</v>
      </c>
      <c r="U111" s="3">
        <f>U54/$E$19</f>
        <v>7.37522016310313E-2</v>
      </c>
      <c r="V111" s="3">
        <f t="shared" ref="V111:AA111" si="283">V54/$E$19</f>
        <v>7.8289448182527685E-2</v>
      </c>
      <c r="W111" s="3">
        <f t="shared" si="283"/>
        <v>9.8835003892241077E-2</v>
      </c>
      <c r="X111" s="3">
        <f t="shared" si="283"/>
        <v>8.6480256648654094E-2</v>
      </c>
      <c r="Y111" s="3">
        <f t="shared" si="283"/>
        <v>0.16099180677759903</v>
      </c>
      <c r="Z111" s="3">
        <f t="shared" si="283"/>
        <v>9.5528004905342773E-2</v>
      </c>
      <c r="AA111" s="10">
        <f t="shared" si="283"/>
        <v>0.26223868901522318</v>
      </c>
      <c r="AC111" s="5" t="s">
        <v>49</v>
      </c>
      <c r="AD111" s="3">
        <f>AD54/$E$19</f>
        <v>8.861392785818975E-2</v>
      </c>
      <c r="AE111" s="3">
        <f t="shared" ref="AE111:AJ111" si="284">AE54/$E$19</f>
        <v>9.4065470045371746E-2</v>
      </c>
      <c r="AF111" s="3">
        <f t="shared" si="284"/>
        <v>0.11875113842141831</v>
      </c>
      <c r="AG111" s="3">
        <f t="shared" si="284"/>
        <v>0.10390679944932255</v>
      </c>
      <c r="AH111" s="3">
        <f t="shared" si="284"/>
        <v>0.19343309129835251</v>
      </c>
      <c r="AI111" s="3">
        <f t="shared" si="284"/>
        <v>0.11477774965238645</v>
      </c>
      <c r="AJ111" s="10">
        <f t="shared" si="284"/>
        <v>0.31508212305683669</v>
      </c>
      <c r="AK111" s="3"/>
      <c r="AL111" s="5" t="s">
        <v>49</v>
      </c>
      <c r="AM111" s="3">
        <f>AM54/$E$19</f>
        <v>0.16236612948922108</v>
      </c>
      <c r="AN111" s="3">
        <f t="shared" ref="AN111:AS111" si="285">AN54/$E$19</f>
        <v>0.17235491822789945</v>
      </c>
      <c r="AO111" s="3">
        <f t="shared" si="285"/>
        <v>0.21758614231365944</v>
      </c>
      <c r="AP111" s="3">
        <f t="shared" si="285"/>
        <v>0.19038705609797668</v>
      </c>
      <c r="AQ111" s="3">
        <f t="shared" si="285"/>
        <v>0.35442489807595157</v>
      </c>
      <c r="AR111" s="3">
        <f t="shared" si="285"/>
        <v>0.21030575455772926</v>
      </c>
      <c r="AS111" s="10">
        <f t="shared" si="285"/>
        <v>0.57732081207205987</v>
      </c>
      <c r="AU111" s="5" t="s">
        <v>49</v>
      </c>
      <c r="AV111" s="3">
        <f>AV54/$E$19</f>
        <v>4.8601588015840122E-2</v>
      </c>
      <c r="AW111" s="3">
        <f t="shared" ref="AW111:BB111" si="286">AW54/$E$19</f>
        <v>5.1591565030022365E-2</v>
      </c>
      <c r="AX111" s="3">
        <f t="shared" si="286"/>
        <v>6.5130776227479592E-2</v>
      </c>
      <c r="AY111" s="3">
        <f t="shared" si="286"/>
        <v>5.6989184216753683E-2</v>
      </c>
      <c r="AZ111" s="3">
        <f t="shared" si="286"/>
        <v>0.10609117143478544</v>
      </c>
      <c r="BA111" s="3">
        <f t="shared" si="286"/>
        <v>6.2951513794961139E-2</v>
      </c>
      <c r="BB111" s="10">
        <f t="shared" si="286"/>
        <v>0.1728113390986464</v>
      </c>
      <c r="BD111" s="5" t="s">
        <v>49</v>
      </c>
      <c r="BE111" s="3">
        <f>BE54/$E$19</f>
        <v>6.7919808731128753E-2</v>
      </c>
      <c r="BF111" s="3">
        <f t="shared" ref="BF111:BK111" si="287">BF54/$E$19</f>
        <v>7.2098245593058913E-2</v>
      </c>
      <c r="BG111" s="3">
        <f t="shared" si="287"/>
        <v>9.1019039592669451E-2</v>
      </c>
      <c r="BH111" s="3">
        <f t="shared" si="287"/>
        <v>7.9641317285423757E-2</v>
      </c>
      <c r="BI111" s="3">
        <f t="shared" si="287"/>
        <v>0.14826042452694249</v>
      </c>
      <c r="BJ111" s="3">
        <f t="shared" si="287"/>
        <v>8.7973561170372916E-2</v>
      </c>
      <c r="BK111" s="10">
        <f t="shared" si="287"/>
        <v>0.24150060887567909</v>
      </c>
      <c r="BM111" s="5" t="s">
        <v>49</v>
      </c>
      <c r="BN111" s="3">
        <f>BN54/$E$19</f>
        <v>0.11652139674696886</v>
      </c>
      <c r="BO111" s="3">
        <f t="shared" ref="BO111:BT111" si="288">BO54/$E$19</f>
        <v>0.12368981062308126</v>
      </c>
      <c r="BP111" s="3">
        <f t="shared" si="288"/>
        <v>0.15614981582014903</v>
      </c>
      <c r="BQ111" s="3">
        <f t="shared" si="288"/>
        <v>0.13663050150217743</v>
      </c>
      <c r="BR111" s="3">
        <f t="shared" si="288"/>
        <v>0.25435159596172791</v>
      </c>
      <c r="BS111" s="3">
        <f t="shared" si="288"/>
        <v>0.15092507496533406</v>
      </c>
      <c r="BT111" s="10">
        <f t="shared" si="288"/>
        <v>0.41431194797432541</v>
      </c>
    </row>
    <row r="112" spans="2:72" x14ac:dyDescent="0.25">
      <c r="B112" s="5" t="s">
        <v>50</v>
      </c>
      <c r="C112" s="3">
        <f t="shared" si="280"/>
        <v>3.2755285072257534</v>
      </c>
      <c r="D112" s="3">
        <f t="shared" ref="D112:I116" si="289">D55/$E$19</f>
        <v>3.4770395142881507</v>
      </c>
      <c r="E112" s="3">
        <f t="shared" si="289"/>
        <v>4.3895214732761465</v>
      </c>
      <c r="F112" s="3">
        <f t="shared" si="289"/>
        <v>3.8408147784117204</v>
      </c>
      <c r="G112" s="3">
        <f t="shared" si="289"/>
        <v>7.150067941943715</v>
      </c>
      <c r="H112" s="3">
        <f t="shared" si="289"/>
        <v>4.2426489838399197</v>
      </c>
      <c r="I112" s="10">
        <f t="shared" si="289"/>
        <v>11.646707251725756</v>
      </c>
      <c r="K112" s="5" t="s">
        <v>50</v>
      </c>
      <c r="L112" s="3">
        <f t="shared" ref="L112:R112" si="290">L55/$E$19</f>
        <v>1.7424134681082657</v>
      </c>
      <c r="M112" s="3">
        <f t="shared" si="290"/>
        <v>1.8496070070754971</v>
      </c>
      <c r="N112" s="3">
        <f t="shared" si="290"/>
        <v>2.3350006927781743</v>
      </c>
      <c r="O112" s="3">
        <f t="shared" si="290"/>
        <v>2.0431168233311929</v>
      </c>
      <c r="P112" s="3">
        <f t="shared" si="290"/>
        <v>3.8034700819879728</v>
      </c>
      <c r="Q112" s="3">
        <f t="shared" si="290"/>
        <v>2.2568720478514912</v>
      </c>
      <c r="R112" s="10">
        <f t="shared" si="290"/>
        <v>6.1954519796589631</v>
      </c>
      <c r="T112" s="5" t="s">
        <v>50</v>
      </c>
      <c r="U112" s="3">
        <f t="shared" ref="U112:AA112" si="291">U55/$E$19</f>
        <v>0.1475044032620626</v>
      </c>
      <c r="V112" s="3">
        <f t="shared" si="291"/>
        <v>0.15657889636505537</v>
      </c>
      <c r="W112" s="3">
        <f t="shared" si="291"/>
        <v>0.19767000778448215</v>
      </c>
      <c r="X112" s="3">
        <f t="shared" si="291"/>
        <v>0.17296051329730819</v>
      </c>
      <c r="Y112" s="3">
        <f t="shared" si="291"/>
        <v>0.32198361355519806</v>
      </c>
      <c r="Z112" s="3">
        <f t="shared" si="291"/>
        <v>0.19105600981068555</v>
      </c>
      <c r="AA112" s="10">
        <f t="shared" si="291"/>
        <v>0.52447737803044636</v>
      </c>
      <c r="AC112" s="5" t="s">
        <v>50</v>
      </c>
      <c r="AD112" s="3">
        <f t="shared" ref="AD112:AJ112" si="292">AD55/$E$19</f>
        <v>0.1772278557163795</v>
      </c>
      <c r="AE112" s="3">
        <f t="shared" si="292"/>
        <v>0.18813094009074349</v>
      </c>
      <c r="AF112" s="3">
        <f t="shared" si="292"/>
        <v>0.23750227684283662</v>
      </c>
      <c r="AG112" s="3">
        <f t="shared" si="292"/>
        <v>0.20781359889864509</v>
      </c>
      <c r="AH112" s="3">
        <f t="shared" si="292"/>
        <v>0.38686618259670502</v>
      </c>
      <c r="AI112" s="3">
        <f t="shared" si="292"/>
        <v>0.2295554993047729</v>
      </c>
      <c r="AJ112" s="10">
        <f t="shared" si="292"/>
        <v>0.63016424611367339</v>
      </c>
      <c r="AK112" s="3"/>
      <c r="AL112" s="5" t="s">
        <v>50</v>
      </c>
      <c r="AM112" s="3">
        <f t="shared" ref="AM112:AS112" si="293">AM55/$E$19</f>
        <v>0.32473225897844216</v>
      </c>
      <c r="AN112" s="3">
        <f t="shared" si="293"/>
        <v>0.34470983645579889</v>
      </c>
      <c r="AO112" s="3">
        <f t="shared" si="293"/>
        <v>0.43517228462731888</v>
      </c>
      <c r="AP112" s="3">
        <f t="shared" si="293"/>
        <v>0.38077411219595336</v>
      </c>
      <c r="AQ112" s="3">
        <f t="shared" si="293"/>
        <v>0.70884979615190313</v>
      </c>
      <c r="AR112" s="3">
        <f t="shared" si="293"/>
        <v>0.42061150911545853</v>
      </c>
      <c r="AS112" s="10">
        <f t="shared" si="293"/>
        <v>1.1546416241441197</v>
      </c>
      <c r="AU112" s="5" t="s">
        <v>50</v>
      </c>
      <c r="AV112" s="3">
        <f t="shared" ref="AV112:BB112" si="294">AV55/$E$19</f>
        <v>9.7203176031680244E-2</v>
      </c>
      <c r="AW112" s="3">
        <f t="shared" si="294"/>
        <v>0.10318313006004473</v>
      </c>
      <c r="AX112" s="3">
        <f t="shared" si="294"/>
        <v>0.13026155245495918</v>
      </c>
      <c r="AY112" s="3">
        <f t="shared" si="294"/>
        <v>0.11397836843350737</v>
      </c>
      <c r="AZ112" s="3">
        <f t="shared" si="294"/>
        <v>0.21218234286957088</v>
      </c>
      <c r="BA112" s="3">
        <f t="shared" si="294"/>
        <v>0.12590302758992228</v>
      </c>
      <c r="BB112" s="10">
        <f t="shared" si="294"/>
        <v>0.34562267819729281</v>
      </c>
      <c r="BD112" s="5" t="s">
        <v>50</v>
      </c>
      <c r="BE112" s="3">
        <f t="shared" ref="BE112:BK112" si="295">BE55/$E$19</f>
        <v>0.13583961746225751</v>
      </c>
      <c r="BF112" s="3">
        <f t="shared" si="295"/>
        <v>0.14419649118611783</v>
      </c>
      <c r="BG112" s="3">
        <f t="shared" si="295"/>
        <v>0.1820380791853389</v>
      </c>
      <c r="BH112" s="3">
        <f t="shared" si="295"/>
        <v>0.15928263457084751</v>
      </c>
      <c r="BI112" s="3">
        <f t="shared" si="295"/>
        <v>0.29652084905388498</v>
      </c>
      <c r="BJ112" s="3">
        <f t="shared" si="295"/>
        <v>0.17594712234074583</v>
      </c>
      <c r="BK112" s="10">
        <f t="shared" si="295"/>
        <v>0.48300121775135818</v>
      </c>
      <c r="BM112" s="5" t="s">
        <v>50</v>
      </c>
      <c r="BN112" s="3">
        <f t="shared" ref="BN112:BT112" si="296">BN55/$E$19</f>
        <v>0.23304279349393772</v>
      </c>
      <c r="BO112" s="3">
        <f t="shared" si="296"/>
        <v>0.24737962124616253</v>
      </c>
      <c r="BP112" s="3">
        <f t="shared" si="296"/>
        <v>0.31229963164029806</v>
      </c>
      <c r="BQ112" s="3">
        <f t="shared" si="296"/>
        <v>0.27326100300435485</v>
      </c>
      <c r="BR112" s="3">
        <f t="shared" si="296"/>
        <v>0.50870319192345581</v>
      </c>
      <c r="BS112" s="3">
        <f t="shared" si="296"/>
        <v>0.30185014993066811</v>
      </c>
      <c r="BT112" s="10">
        <f t="shared" si="296"/>
        <v>0.82862389594865082</v>
      </c>
    </row>
    <row r="113" spans="2:72" x14ac:dyDescent="0.25">
      <c r="B113" s="5" t="s">
        <v>51</v>
      </c>
      <c r="C113" s="3">
        <f t="shared" si="280"/>
        <v>8.1888212680643839</v>
      </c>
      <c r="D113" s="3">
        <f t="shared" si="289"/>
        <v>8.6925987857203779</v>
      </c>
      <c r="E113" s="3">
        <f t="shared" si="289"/>
        <v>10.973803683190365</v>
      </c>
      <c r="F113" s="3">
        <f t="shared" si="289"/>
        <v>9.6020369460292994</v>
      </c>
      <c r="G113" s="3">
        <f t="shared" si="289"/>
        <v>17.875169854859283</v>
      </c>
      <c r="H113" s="3">
        <f t="shared" si="289"/>
        <v>10.6066224595998</v>
      </c>
      <c r="I113" s="10">
        <f t="shared" si="289"/>
        <v>29.116768129314391</v>
      </c>
      <c r="K113" s="5" t="s">
        <v>51</v>
      </c>
      <c r="L113" s="3">
        <f t="shared" ref="L113:R113" si="297">L56/$E$19</f>
        <v>4.3560336702706639</v>
      </c>
      <c r="M113" s="3">
        <f t="shared" si="297"/>
        <v>4.6240175176887428</v>
      </c>
      <c r="N113" s="3">
        <f t="shared" si="297"/>
        <v>5.8375017319454354</v>
      </c>
      <c r="O113" s="3">
        <f t="shared" si="297"/>
        <v>5.1077920583279814</v>
      </c>
      <c r="P113" s="3">
        <f t="shared" si="297"/>
        <v>9.5086752049699292</v>
      </c>
      <c r="Q113" s="3">
        <f t="shared" si="297"/>
        <v>5.6421801196287271</v>
      </c>
      <c r="R113" s="10">
        <f t="shared" si="297"/>
        <v>15.488629949147407</v>
      </c>
      <c r="T113" s="5" t="s">
        <v>51</v>
      </c>
      <c r="U113" s="3">
        <f t="shared" ref="U113:AA113" si="298">U56/$E$19</f>
        <v>0.3687610081551565</v>
      </c>
      <c r="V113" s="3">
        <f t="shared" si="298"/>
        <v>0.39144724091263838</v>
      </c>
      <c r="W113" s="3">
        <f t="shared" si="298"/>
        <v>0.49417501946120534</v>
      </c>
      <c r="X113" s="3">
        <f t="shared" si="298"/>
        <v>0.43240128324327048</v>
      </c>
      <c r="Y113" s="3">
        <f t="shared" si="298"/>
        <v>0.80495903388799506</v>
      </c>
      <c r="Z113" s="3">
        <f t="shared" si="298"/>
        <v>0.47764002452671378</v>
      </c>
      <c r="AA113" s="10">
        <f t="shared" si="298"/>
        <v>1.3111934450761156</v>
      </c>
      <c r="AC113" s="5" t="s">
        <v>51</v>
      </c>
      <c r="AD113" s="3">
        <f t="shared" ref="AD113:AJ113" si="299">AD56/$E$19</f>
        <v>0.44306963929094872</v>
      </c>
      <c r="AE113" s="3">
        <f t="shared" si="299"/>
        <v>0.47032735022685868</v>
      </c>
      <c r="AF113" s="3">
        <f t="shared" si="299"/>
        <v>0.59375569210709156</v>
      </c>
      <c r="AG113" s="3">
        <f t="shared" si="299"/>
        <v>0.51953399724661264</v>
      </c>
      <c r="AH113" s="3">
        <f t="shared" si="299"/>
        <v>0.96716545649176244</v>
      </c>
      <c r="AI113" s="3">
        <f t="shared" si="299"/>
        <v>0.57388874826193226</v>
      </c>
      <c r="AJ113" s="10">
        <f t="shared" si="299"/>
        <v>1.5754106152841834</v>
      </c>
      <c r="AK113" s="3"/>
      <c r="AL113" s="5" t="s">
        <v>51</v>
      </c>
      <c r="AM113" s="3">
        <f t="shared" ref="AM113:AS113" si="300">AM56/$E$19</f>
        <v>0.81183064744610534</v>
      </c>
      <c r="AN113" s="3">
        <f t="shared" si="300"/>
        <v>0.86177459113949717</v>
      </c>
      <c r="AO113" s="3">
        <f t="shared" si="300"/>
        <v>1.087930711568297</v>
      </c>
      <c r="AP113" s="3">
        <f t="shared" si="300"/>
        <v>0.9519352804898833</v>
      </c>
      <c r="AQ113" s="3">
        <f t="shared" si="300"/>
        <v>1.7721244903797579</v>
      </c>
      <c r="AR113" s="3">
        <f t="shared" si="300"/>
        <v>1.0515287727886462</v>
      </c>
      <c r="AS113" s="10">
        <f t="shared" si="300"/>
        <v>2.8866040603602992</v>
      </c>
      <c r="AU113" s="5" t="s">
        <v>51</v>
      </c>
      <c r="AV113" s="3">
        <f t="shared" ref="AV113:BB113" si="301">AV56/$E$19</f>
        <v>0.24300794007920057</v>
      </c>
      <c r="AW113" s="3">
        <f t="shared" si="301"/>
        <v>0.25795782515011179</v>
      </c>
      <c r="AX113" s="3">
        <f t="shared" si="301"/>
        <v>0.3256538811373979</v>
      </c>
      <c r="AY113" s="3">
        <f t="shared" si="301"/>
        <v>0.28494592108376837</v>
      </c>
      <c r="AZ113" s="3">
        <f t="shared" si="301"/>
        <v>0.53045585717392707</v>
      </c>
      <c r="BA113" s="3">
        <f t="shared" si="301"/>
        <v>0.31475756897480567</v>
      </c>
      <c r="BB113" s="10">
        <f t="shared" si="301"/>
        <v>0.86405669549323194</v>
      </c>
      <c r="BD113" s="5" t="s">
        <v>51</v>
      </c>
      <c r="BE113" s="3">
        <f t="shared" ref="BE113:BK113" si="302">BE56/$E$19</f>
        <v>0.33959904365564375</v>
      </c>
      <c r="BF113" s="3">
        <f t="shared" si="302"/>
        <v>0.36049122796529459</v>
      </c>
      <c r="BG113" s="3">
        <f t="shared" si="302"/>
        <v>0.45509519796334724</v>
      </c>
      <c r="BH113" s="3">
        <f t="shared" si="302"/>
        <v>0.39820658642711876</v>
      </c>
      <c r="BI113" s="3">
        <f t="shared" si="302"/>
        <v>0.7413021226347124</v>
      </c>
      <c r="BJ113" s="3">
        <f t="shared" si="302"/>
        <v>0.43986780585186458</v>
      </c>
      <c r="BK113" s="10">
        <f t="shared" si="302"/>
        <v>1.2075030443783952</v>
      </c>
      <c r="BM113" s="5" t="s">
        <v>51</v>
      </c>
      <c r="BN113" s="3">
        <f t="shared" ref="BN113:BT113" si="303">BN56/$E$19</f>
        <v>0.58260698373484432</v>
      </c>
      <c r="BO113" s="3">
        <f t="shared" si="303"/>
        <v>0.61844905311540632</v>
      </c>
      <c r="BP113" s="3">
        <f t="shared" si="303"/>
        <v>0.7807490791007452</v>
      </c>
      <c r="BQ113" s="3">
        <f t="shared" si="303"/>
        <v>0.68315250751088719</v>
      </c>
      <c r="BR113" s="3">
        <f t="shared" si="303"/>
        <v>1.2717579798086394</v>
      </c>
      <c r="BS113" s="3">
        <f t="shared" si="303"/>
        <v>0.75462537482667014</v>
      </c>
      <c r="BT113" s="10">
        <f t="shared" si="303"/>
        <v>2.0715597398716272</v>
      </c>
    </row>
    <row r="114" spans="2:72" x14ac:dyDescent="0.25">
      <c r="B114" s="5" t="s">
        <v>52</v>
      </c>
      <c r="C114" s="3">
        <f t="shared" si="280"/>
        <v>16.377642536128768</v>
      </c>
      <c r="D114" s="3">
        <f t="shared" si="289"/>
        <v>17.385197571440756</v>
      </c>
      <c r="E114" s="3">
        <f t="shared" si="289"/>
        <v>21.94760736638073</v>
      </c>
      <c r="F114" s="3">
        <f t="shared" si="289"/>
        <v>19.204073892058599</v>
      </c>
      <c r="G114" s="3">
        <f t="shared" si="289"/>
        <v>35.750339709718567</v>
      </c>
      <c r="H114" s="3">
        <f t="shared" si="289"/>
        <v>21.2132449191996</v>
      </c>
      <c r="I114" s="10">
        <f t="shared" si="289"/>
        <v>58.233536258628781</v>
      </c>
      <c r="K114" s="5" t="s">
        <v>52</v>
      </c>
      <c r="L114" s="3">
        <f t="shared" ref="L114:R114" si="304">L57/$E$19</f>
        <v>8.7120673405413278</v>
      </c>
      <c r="M114" s="3">
        <f t="shared" si="304"/>
        <v>9.2480350353774856</v>
      </c>
      <c r="N114" s="3">
        <f t="shared" si="304"/>
        <v>11.675003463890871</v>
      </c>
      <c r="O114" s="3">
        <f t="shared" si="304"/>
        <v>10.215584116655963</v>
      </c>
      <c r="P114" s="3">
        <f t="shared" si="304"/>
        <v>19.017350409939858</v>
      </c>
      <c r="Q114" s="3">
        <f t="shared" si="304"/>
        <v>11.284360239257454</v>
      </c>
      <c r="R114" s="10">
        <f t="shared" si="304"/>
        <v>30.977259898294815</v>
      </c>
      <c r="T114" s="5" t="s">
        <v>52</v>
      </c>
      <c r="U114" s="3">
        <f t="shared" ref="U114:AA114" si="305">U57/$E$19</f>
        <v>0.737522016310313</v>
      </c>
      <c r="V114" s="3">
        <f t="shared" si="305"/>
        <v>0.78289448182527677</v>
      </c>
      <c r="W114" s="3">
        <f t="shared" si="305"/>
        <v>0.98835003892241069</v>
      </c>
      <c r="X114" s="3">
        <f t="shared" si="305"/>
        <v>0.86480256648654097</v>
      </c>
      <c r="Y114" s="3">
        <f t="shared" si="305"/>
        <v>1.6099180677759901</v>
      </c>
      <c r="Z114" s="3">
        <f t="shared" si="305"/>
        <v>0.95528004905342756</v>
      </c>
      <c r="AA114" s="10">
        <f t="shared" si="305"/>
        <v>2.6223868901522311</v>
      </c>
      <c r="AC114" s="5" t="s">
        <v>52</v>
      </c>
      <c r="AD114" s="3">
        <f t="shared" ref="AD114:AJ114" si="306">AD57/$E$19</f>
        <v>0.88613927858189745</v>
      </c>
      <c r="AE114" s="3">
        <f t="shared" si="306"/>
        <v>0.94065470045371735</v>
      </c>
      <c r="AF114" s="3">
        <f t="shared" si="306"/>
        <v>1.1875113842141831</v>
      </c>
      <c r="AG114" s="3">
        <f t="shared" si="306"/>
        <v>1.0390679944932253</v>
      </c>
      <c r="AH114" s="3">
        <f t="shared" si="306"/>
        <v>1.9343309129835249</v>
      </c>
      <c r="AI114" s="3">
        <f t="shared" si="306"/>
        <v>1.1477774965238645</v>
      </c>
      <c r="AJ114" s="10">
        <f t="shared" si="306"/>
        <v>3.1508212305683667</v>
      </c>
      <c r="AK114" s="3"/>
      <c r="AL114" s="5" t="s">
        <v>52</v>
      </c>
      <c r="AM114" s="3">
        <f t="shared" ref="AM114:AS114" si="307">AM57/$E$19</f>
        <v>1.6236612948922107</v>
      </c>
      <c r="AN114" s="3">
        <f t="shared" si="307"/>
        <v>1.7235491822789943</v>
      </c>
      <c r="AO114" s="3">
        <f t="shared" si="307"/>
        <v>2.175861423136594</v>
      </c>
      <c r="AP114" s="3">
        <f t="shared" si="307"/>
        <v>1.9038705609797666</v>
      </c>
      <c r="AQ114" s="3">
        <f t="shared" si="307"/>
        <v>3.5442489807595159</v>
      </c>
      <c r="AR114" s="3">
        <f t="shared" si="307"/>
        <v>2.1030575455772924</v>
      </c>
      <c r="AS114" s="10">
        <f t="shared" si="307"/>
        <v>5.7732081207205983</v>
      </c>
      <c r="AU114" s="5" t="s">
        <v>52</v>
      </c>
      <c r="AV114" s="3">
        <f t="shared" ref="AV114:BB114" si="308">AV57/$E$19</f>
        <v>0.48601588015840114</v>
      </c>
      <c r="AW114" s="3">
        <f t="shared" si="308"/>
        <v>0.51591565030022357</v>
      </c>
      <c r="AX114" s="3">
        <f t="shared" si="308"/>
        <v>0.65130776227479581</v>
      </c>
      <c r="AY114" s="3">
        <f t="shared" si="308"/>
        <v>0.56989184216753674</v>
      </c>
      <c r="AZ114" s="3">
        <f t="shared" si="308"/>
        <v>1.0609117143478541</v>
      </c>
      <c r="BA114" s="3">
        <f t="shared" si="308"/>
        <v>0.62951513794961134</v>
      </c>
      <c r="BB114" s="10">
        <f t="shared" si="308"/>
        <v>1.7281133909864639</v>
      </c>
      <c r="BD114" s="5" t="s">
        <v>52</v>
      </c>
      <c r="BE114" s="3">
        <f t="shared" ref="BE114:BK114" si="309">BE57/$E$19</f>
        <v>0.6791980873112875</v>
      </c>
      <c r="BF114" s="3">
        <f t="shared" si="309"/>
        <v>0.72098245593058918</v>
      </c>
      <c r="BG114" s="3">
        <f t="shared" si="309"/>
        <v>0.91019039592669448</v>
      </c>
      <c r="BH114" s="3">
        <f t="shared" si="309"/>
        <v>0.79641317285423752</v>
      </c>
      <c r="BI114" s="3">
        <f t="shared" si="309"/>
        <v>1.4826042452694248</v>
      </c>
      <c r="BJ114" s="3">
        <f t="shared" si="309"/>
        <v>0.87973561170372916</v>
      </c>
      <c r="BK114" s="10">
        <f t="shared" si="309"/>
        <v>2.4150060887567903</v>
      </c>
      <c r="BM114" s="5" t="s">
        <v>52</v>
      </c>
      <c r="BN114" s="3">
        <f t="shared" ref="BN114:BT114" si="310">BN57/$E$19</f>
        <v>1.1652139674696886</v>
      </c>
      <c r="BO114" s="3">
        <f t="shared" si="310"/>
        <v>1.2368981062308126</v>
      </c>
      <c r="BP114" s="3">
        <f t="shared" si="310"/>
        <v>1.5614981582014904</v>
      </c>
      <c r="BQ114" s="3">
        <f t="shared" si="310"/>
        <v>1.3663050150217744</v>
      </c>
      <c r="BR114" s="3">
        <f t="shared" si="310"/>
        <v>2.5435159596172787</v>
      </c>
      <c r="BS114" s="3">
        <f t="shared" si="310"/>
        <v>1.5092507496533403</v>
      </c>
      <c r="BT114" s="10">
        <f t="shared" si="310"/>
        <v>4.1431194797432545</v>
      </c>
    </row>
    <row r="115" spans="2:72" x14ac:dyDescent="0.25">
      <c r="B115" s="5" t="s">
        <v>53</v>
      </c>
      <c r="C115" s="3">
        <f t="shared" si="280"/>
        <v>24.566463804193152</v>
      </c>
      <c r="D115" s="3">
        <f t="shared" si="289"/>
        <v>26.077796357161134</v>
      </c>
      <c r="E115" s="3">
        <f t="shared" si="289"/>
        <v>32.921411049571091</v>
      </c>
      <c r="F115" s="3">
        <f t="shared" si="289"/>
        <v>28.8061108380879</v>
      </c>
      <c r="G115" s="3">
        <f t="shared" si="289"/>
        <v>53.625509564577861</v>
      </c>
      <c r="H115" s="3">
        <f t="shared" si="289"/>
        <v>31.819867378799401</v>
      </c>
      <c r="I115" s="10">
        <f t="shared" si="289"/>
        <v>87.350304387943183</v>
      </c>
      <c r="K115" s="5" t="s">
        <v>53</v>
      </c>
      <c r="L115" s="3">
        <f t="shared" ref="L115:R115" si="311">L58/$E$19</f>
        <v>13.068101010811993</v>
      </c>
      <c r="M115" s="3">
        <f t="shared" si="311"/>
        <v>13.872052553066229</v>
      </c>
      <c r="N115" s="3">
        <f t="shared" si="311"/>
        <v>17.512505195836308</v>
      </c>
      <c r="O115" s="3">
        <f t="shared" si="311"/>
        <v>15.323376174983947</v>
      </c>
      <c r="P115" s="3">
        <f t="shared" si="311"/>
        <v>28.526025614909791</v>
      </c>
      <c r="Q115" s="3">
        <f t="shared" si="311"/>
        <v>16.926540358886182</v>
      </c>
      <c r="R115" s="10">
        <f t="shared" si="311"/>
        <v>46.465889847442227</v>
      </c>
      <c r="T115" s="5" t="s">
        <v>53</v>
      </c>
      <c r="U115" s="3">
        <f t="shared" ref="U115:AA115" si="312">U58/$E$19</f>
        <v>1.1062830244654696</v>
      </c>
      <c r="V115" s="3">
        <f t="shared" si="312"/>
        <v>1.1743417227379154</v>
      </c>
      <c r="W115" s="3">
        <f t="shared" si="312"/>
        <v>1.482525058383616</v>
      </c>
      <c r="X115" s="3">
        <f t="shared" si="312"/>
        <v>1.2972038497298115</v>
      </c>
      <c r="Y115" s="3">
        <f t="shared" si="312"/>
        <v>2.4148771016639854</v>
      </c>
      <c r="Z115" s="3">
        <f t="shared" si="312"/>
        <v>1.4329200735801415</v>
      </c>
      <c r="AA115" s="10">
        <f t="shared" si="312"/>
        <v>3.9335803352283474</v>
      </c>
      <c r="AC115" s="5" t="s">
        <v>53</v>
      </c>
      <c r="AD115" s="3">
        <f t="shared" ref="AD115:AJ115" si="313">AD58/$E$19</f>
        <v>1.3292089178728461</v>
      </c>
      <c r="AE115" s="3">
        <f t="shared" si="313"/>
        <v>1.4109820506805761</v>
      </c>
      <c r="AF115" s="3">
        <f t="shared" si="313"/>
        <v>1.7812670763212746</v>
      </c>
      <c r="AG115" s="3">
        <f t="shared" si="313"/>
        <v>1.5586019917398379</v>
      </c>
      <c r="AH115" s="3">
        <f t="shared" si="313"/>
        <v>2.9014963694752876</v>
      </c>
      <c r="AI115" s="3">
        <f t="shared" si="313"/>
        <v>1.7216662447857969</v>
      </c>
      <c r="AJ115" s="10">
        <f t="shared" si="313"/>
        <v>4.726231845852551</v>
      </c>
      <c r="AK115" s="3"/>
      <c r="AL115" s="5" t="s">
        <v>53</v>
      </c>
      <c r="AM115" s="3">
        <f t="shared" ref="AM115:AS115" si="314">AM58/$E$19</f>
        <v>2.4354919423383157</v>
      </c>
      <c r="AN115" s="3">
        <f t="shared" si="314"/>
        <v>2.5853237734184913</v>
      </c>
      <c r="AO115" s="3">
        <f t="shared" si="314"/>
        <v>3.2637921347048908</v>
      </c>
      <c r="AP115" s="3">
        <f t="shared" si="314"/>
        <v>2.8558058414696497</v>
      </c>
      <c r="AQ115" s="3">
        <f t="shared" si="314"/>
        <v>5.3163734711392729</v>
      </c>
      <c r="AR115" s="3">
        <f t="shared" si="314"/>
        <v>3.1545863183659382</v>
      </c>
      <c r="AS115" s="10">
        <f t="shared" si="314"/>
        <v>8.6598121810808983</v>
      </c>
      <c r="AU115" s="5" t="s">
        <v>53</v>
      </c>
      <c r="AV115" s="3">
        <f t="shared" ref="AV115:BB115" si="315">AV58/$E$19</f>
        <v>0.72902382023760171</v>
      </c>
      <c r="AW115" s="3">
        <f t="shared" si="315"/>
        <v>0.77387347545033547</v>
      </c>
      <c r="AX115" s="3">
        <f t="shared" si="315"/>
        <v>0.97696164341219371</v>
      </c>
      <c r="AY115" s="3">
        <f t="shared" si="315"/>
        <v>0.85483776325130512</v>
      </c>
      <c r="AZ115" s="3">
        <f t="shared" si="315"/>
        <v>1.5913675715217814</v>
      </c>
      <c r="BA115" s="3">
        <f t="shared" si="315"/>
        <v>0.944272706924417</v>
      </c>
      <c r="BB115" s="10">
        <f t="shared" si="315"/>
        <v>2.5921700864796957</v>
      </c>
      <c r="BD115" s="5" t="s">
        <v>53</v>
      </c>
      <c r="BE115" s="3">
        <f t="shared" ref="BE115:BK115" si="316">BE58/$E$19</f>
        <v>1.018797130966931</v>
      </c>
      <c r="BF115" s="3">
        <f t="shared" si="316"/>
        <v>1.0814736838958836</v>
      </c>
      <c r="BG115" s="3">
        <f t="shared" si="316"/>
        <v>1.3652855938900417</v>
      </c>
      <c r="BH115" s="3">
        <f t="shared" si="316"/>
        <v>1.1946197592813561</v>
      </c>
      <c r="BI115" s="3">
        <f t="shared" si="316"/>
        <v>2.2239063679041373</v>
      </c>
      <c r="BJ115" s="3">
        <f t="shared" si="316"/>
        <v>1.3196034175555935</v>
      </c>
      <c r="BK115" s="10">
        <f t="shared" si="316"/>
        <v>3.6225091331351851</v>
      </c>
      <c r="BM115" s="5" t="s">
        <v>53</v>
      </c>
      <c r="BN115" s="3">
        <f t="shared" ref="BN115:BT115" si="317">BN58/$E$19</f>
        <v>1.7478209512045331</v>
      </c>
      <c r="BO115" s="3">
        <f t="shared" si="317"/>
        <v>1.8553471593462192</v>
      </c>
      <c r="BP115" s="3">
        <f t="shared" si="317"/>
        <v>2.3422472373022356</v>
      </c>
      <c r="BQ115" s="3">
        <f t="shared" si="317"/>
        <v>2.0494575225326614</v>
      </c>
      <c r="BR115" s="3">
        <f t="shared" si="317"/>
        <v>3.8152739394259187</v>
      </c>
      <c r="BS115" s="3">
        <f t="shared" si="317"/>
        <v>2.2638761244800105</v>
      </c>
      <c r="BT115" s="10">
        <f t="shared" si="317"/>
        <v>6.2146792196148821</v>
      </c>
    </row>
    <row r="116" spans="2:72" ht="15.75" thickBot="1" x14ac:dyDescent="0.3">
      <c r="B116" s="6" t="s">
        <v>54</v>
      </c>
      <c r="C116" s="11">
        <f t="shared" si="280"/>
        <v>32.755285072257536</v>
      </c>
      <c r="D116" s="11">
        <f t="shared" si="289"/>
        <v>34.770395142881512</v>
      </c>
      <c r="E116" s="11">
        <f t="shared" si="289"/>
        <v>43.89521473276146</v>
      </c>
      <c r="F116" s="11">
        <f t="shared" si="289"/>
        <v>38.408147784117197</v>
      </c>
      <c r="G116" s="11">
        <f t="shared" si="289"/>
        <v>71.500679419437134</v>
      </c>
      <c r="H116" s="11">
        <f t="shared" si="289"/>
        <v>42.426489838399199</v>
      </c>
      <c r="I116" s="12">
        <f t="shared" si="289"/>
        <v>116.46707251725756</v>
      </c>
      <c r="K116" s="6" t="s">
        <v>54</v>
      </c>
      <c r="L116" s="11">
        <f t="shared" ref="L116:R116" si="318">L59/$E$19</f>
        <v>17.424134681082656</v>
      </c>
      <c r="M116" s="11">
        <f t="shared" si="318"/>
        <v>18.496070070754971</v>
      </c>
      <c r="N116" s="11">
        <f t="shared" si="318"/>
        <v>23.350006927781742</v>
      </c>
      <c r="O116" s="11">
        <f t="shared" si="318"/>
        <v>20.431168233311926</v>
      </c>
      <c r="P116" s="11">
        <f t="shared" si="318"/>
        <v>38.034700819879717</v>
      </c>
      <c r="Q116" s="11">
        <f t="shared" si="318"/>
        <v>22.568720478514908</v>
      </c>
      <c r="R116" s="12">
        <f t="shared" si="318"/>
        <v>61.954519796589629</v>
      </c>
      <c r="T116" s="6" t="s">
        <v>54</v>
      </c>
      <c r="U116" s="11">
        <f t="shared" ref="U116:AA116" si="319">U59/$E$19</f>
        <v>1.475044032620626</v>
      </c>
      <c r="V116" s="11">
        <f t="shared" si="319"/>
        <v>1.5657889636505535</v>
      </c>
      <c r="W116" s="11">
        <f t="shared" si="319"/>
        <v>1.9767000778448214</v>
      </c>
      <c r="X116" s="11">
        <f t="shared" si="319"/>
        <v>1.7296051329730819</v>
      </c>
      <c r="Y116" s="11">
        <f t="shared" si="319"/>
        <v>3.2198361355519802</v>
      </c>
      <c r="Z116" s="11">
        <f t="shared" si="319"/>
        <v>1.9105600981068551</v>
      </c>
      <c r="AA116" s="12">
        <f t="shared" si="319"/>
        <v>5.2447737803044623</v>
      </c>
      <c r="AC116" s="6" t="s">
        <v>54</v>
      </c>
      <c r="AD116" s="11">
        <f t="shared" ref="AD116:AJ116" si="320">AD59/$E$19</f>
        <v>1.7722785571637949</v>
      </c>
      <c r="AE116" s="11">
        <f t="shared" si="320"/>
        <v>1.8813094009074347</v>
      </c>
      <c r="AF116" s="11">
        <f t="shared" si="320"/>
        <v>2.3750227684283662</v>
      </c>
      <c r="AG116" s="11">
        <f t="shared" si="320"/>
        <v>2.0781359889864506</v>
      </c>
      <c r="AH116" s="11">
        <f t="shared" si="320"/>
        <v>3.8686618259670498</v>
      </c>
      <c r="AI116" s="11">
        <f t="shared" si="320"/>
        <v>2.295554993047729</v>
      </c>
      <c r="AJ116" s="12">
        <f t="shared" si="320"/>
        <v>6.3016424611367334</v>
      </c>
      <c r="AK116" s="3"/>
      <c r="AL116" s="6" t="s">
        <v>54</v>
      </c>
      <c r="AM116" s="11">
        <f t="shared" ref="AM116:AS116" si="321">AM59/$E$19</f>
        <v>3.2473225897844213</v>
      </c>
      <c r="AN116" s="11">
        <f t="shared" si="321"/>
        <v>3.4470983645579887</v>
      </c>
      <c r="AO116" s="11">
        <f t="shared" si="321"/>
        <v>4.3517228462731881</v>
      </c>
      <c r="AP116" s="11">
        <f t="shared" si="321"/>
        <v>3.8077411219595332</v>
      </c>
      <c r="AQ116" s="11">
        <f t="shared" si="321"/>
        <v>7.0884979615190318</v>
      </c>
      <c r="AR116" s="11">
        <f t="shared" si="321"/>
        <v>4.2061150911545848</v>
      </c>
      <c r="AS116" s="12">
        <f t="shared" si="321"/>
        <v>11.546416241441197</v>
      </c>
      <c r="AU116" s="6" t="s">
        <v>54</v>
      </c>
      <c r="AV116" s="11">
        <f t="shared" ref="AV116:BB116" si="322">AV59/$E$19</f>
        <v>0.97203176031680227</v>
      </c>
      <c r="AW116" s="11">
        <f t="shared" si="322"/>
        <v>1.0318313006004471</v>
      </c>
      <c r="AX116" s="11">
        <f t="shared" si="322"/>
        <v>1.3026155245495916</v>
      </c>
      <c r="AY116" s="11">
        <f t="shared" si="322"/>
        <v>1.1397836843350735</v>
      </c>
      <c r="AZ116" s="11">
        <f t="shared" si="322"/>
        <v>2.1218234286957083</v>
      </c>
      <c r="BA116" s="11">
        <f t="shared" si="322"/>
        <v>1.2590302758992227</v>
      </c>
      <c r="BB116" s="12">
        <f t="shared" si="322"/>
        <v>3.4562267819729278</v>
      </c>
      <c r="BD116" s="6" t="s">
        <v>54</v>
      </c>
      <c r="BE116" s="11">
        <f t="shared" ref="BE116:BK116" si="323">BE59/$E$19</f>
        <v>1.358396174622575</v>
      </c>
      <c r="BF116" s="11">
        <f t="shared" si="323"/>
        <v>1.4419649118611784</v>
      </c>
      <c r="BG116" s="11">
        <f t="shared" si="323"/>
        <v>1.820380791853389</v>
      </c>
      <c r="BH116" s="11">
        <f t="shared" si="323"/>
        <v>1.592826345708475</v>
      </c>
      <c r="BI116" s="11">
        <f t="shared" si="323"/>
        <v>2.9652084905388496</v>
      </c>
      <c r="BJ116" s="11">
        <f t="shared" si="323"/>
        <v>1.7594712234074583</v>
      </c>
      <c r="BK116" s="12">
        <f t="shared" si="323"/>
        <v>4.8300121775135807</v>
      </c>
      <c r="BM116" s="6" t="s">
        <v>54</v>
      </c>
      <c r="BN116" s="11">
        <f t="shared" ref="BN116:BT116" si="324">BN59/$E$19</f>
        <v>2.3304279349393773</v>
      </c>
      <c r="BO116" s="11">
        <f t="shared" si="324"/>
        <v>2.4737962124616253</v>
      </c>
      <c r="BP116" s="11">
        <f t="shared" si="324"/>
        <v>3.1229963164029808</v>
      </c>
      <c r="BQ116" s="11">
        <f t="shared" si="324"/>
        <v>2.7326100300435487</v>
      </c>
      <c r="BR116" s="11">
        <f t="shared" si="324"/>
        <v>5.0870319192345574</v>
      </c>
      <c r="BS116" s="11">
        <f t="shared" si="324"/>
        <v>3.0185014993066805</v>
      </c>
      <c r="BT116" s="12">
        <f t="shared" si="324"/>
        <v>8.2862389594865089</v>
      </c>
    </row>
    <row r="117" spans="2:72" ht="15.75" thickBot="1" x14ac:dyDescent="0.3">
      <c r="L117" s="3"/>
      <c r="M117" s="3"/>
      <c r="N117" s="3"/>
      <c r="O117" s="3"/>
      <c r="P117" s="3"/>
      <c r="Q117" s="3"/>
      <c r="R117" s="3"/>
      <c r="U117" s="3"/>
      <c r="V117" s="3"/>
      <c r="W117" s="3"/>
      <c r="X117" s="3"/>
      <c r="Y117" s="3"/>
      <c r="Z117" s="3"/>
      <c r="AA117" s="3"/>
      <c r="AD117" s="3"/>
      <c r="AE117" s="3"/>
      <c r="AF117" s="3"/>
      <c r="AG117" s="3"/>
      <c r="AH117" s="3"/>
      <c r="AI117" s="3"/>
      <c r="AJ117" s="3"/>
      <c r="AK117" s="3"/>
      <c r="AM117" s="3"/>
      <c r="AN117" s="3"/>
      <c r="AO117" s="3"/>
      <c r="AP117" s="3"/>
      <c r="AQ117" s="3"/>
      <c r="AR117" s="3"/>
      <c r="AS117" s="3"/>
      <c r="AV117" s="3"/>
      <c r="AW117" s="3"/>
      <c r="AX117" s="3"/>
      <c r="AY117" s="3"/>
      <c r="AZ117" s="3"/>
      <c r="BA117" s="3"/>
      <c r="BB117" s="3"/>
      <c r="BE117" s="3"/>
      <c r="BF117" s="3"/>
      <c r="BG117" s="3"/>
      <c r="BH117" s="3"/>
      <c r="BI117" s="3"/>
      <c r="BJ117" s="3"/>
      <c r="BK117" s="3"/>
      <c r="BN117" s="3"/>
      <c r="BO117" s="3"/>
      <c r="BP117" s="3"/>
      <c r="BQ117" s="3"/>
      <c r="BR117" s="3"/>
      <c r="BS117" s="3"/>
      <c r="BT117" s="3"/>
    </row>
    <row r="118" spans="2:72" ht="15.75" thickBot="1" x14ac:dyDescent="0.3">
      <c r="B118" s="34" t="s">
        <v>58</v>
      </c>
      <c r="C118" s="35"/>
      <c r="D118" s="35"/>
      <c r="E118" s="35"/>
      <c r="F118" s="35"/>
      <c r="G118" s="35"/>
      <c r="H118" s="35"/>
      <c r="I118" s="36"/>
      <c r="K118" s="49" t="s">
        <v>58</v>
      </c>
      <c r="L118" s="50"/>
      <c r="M118" s="50"/>
      <c r="N118" s="50"/>
      <c r="O118" s="50"/>
      <c r="P118" s="50"/>
      <c r="Q118" s="50"/>
      <c r="R118" s="51"/>
      <c r="T118" s="52" t="s">
        <v>58</v>
      </c>
      <c r="U118" s="53"/>
      <c r="V118" s="53"/>
      <c r="W118" s="53"/>
      <c r="X118" s="53"/>
      <c r="Y118" s="53"/>
      <c r="Z118" s="53"/>
      <c r="AA118" s="54"/>
      <c r="AC118" s="52" t="s">
        <v>58</v>
      </c>
      <c r="AD118" s="53"/>
      <c r="AE118" s="53"/>
      <c r="AF118" s="53"/>
      <c r="AG118" s="53"/>
      <c r="AH118" s="53"/>
      <c r="AI118" s="53"/>
      <c r="AJ118" s="54"/>
      <c r="AK118" s="3"/>
      <c r="AL118" s="52" t="s">
        <v>58</v>
      </c>
      <c r="AM118" s="53"/>
      <c r="AN118" s="53"/>
      <c r="AO118" s="53"/>
      <c r="AP118" s="53"/>
      <c r="AQ118" s="53"/>
      <c r="AR118" s="53"/>
      <c r="AS118" s="54"/>
      <c r="AU118" s="45" t="s">
        <v>58</v>
      </c>
      <c r="AV118" s="46"/>
      <c r="AW118" s="46"/>
      <c r="AX118" s="46"/>
      <c r="AY118" s="46"/>
      <c r="AZ118" s="46"/>
      <c r="BA118" s="46"/>
      <c r="BB118" s="47"/>
      <c r="BD118" s="45" t="s">
        <v>58</v>
      </c>
      <c r="BE118" s="46"/>
      <c r="BF118" s="46"/>
      <c r="BG118" s="46"/>
      <c r="BH118" s="46"/>
      <c r="BI118" s="46"/>
      <c r="BJ118" s="46"/>
      <c r="BK118" s="47"/>
      <c r="BM118" s="45" t="s">
        <v>58</v>
      </c>
      <c r="BN118" s="46"/>
      <c r="BO118" s="46"/>
      <c r="BP118" s="46"/>
      <c r="BQ118" s="46"/>
      <c r="BR118" s="46"/>
      <c r="BS118" s="46"/>
      <c r="BT118" s="47"/>
    </row>
    <row r="119" spans="2:72" x14ac:dyDescent="0.25">
      <c r="B119" s="7" t="s">
        <v>44</v>
      </c>
      <c r="C119" s="325" t="s">
        <v>63</v>
      </c>
      <c r="D119" s="325"/>
      <c r="E119" s="325"/>
      <c r="F119" s="325"/>
      <c r="G119" s="325"/>
      <c r="H119" s="325"/>
      <c r="I119" s="326"/>
      <c r="K119" s="7" t="s">
        <v>44</v>
      </c>
      <c r="L119" s="325" t="s">
        <v>63</v>
      </c>
      <c r="M119" s="325"/>
      <c r="N119" s="325"/>
      <c r="O119" s="325"/>
      <c r="P119" s="325"/>
      <c r="Q119" s="325"/>
      <c r="R119" s="326"/>
      <c r="T119" s="7" t="s">
        <v>44</v>
      </c>
      <c r="U119" s="325" t="s">
        <v>63</v>
      </c>
      <c r="V119" s="325"/>
      <c r="W119" s="325"/>
      <c r="X119" s="325"/>
      <c r="Y119" s="325"/>
      <c r="Z119" s="325"/>
      <c r="AA119" s="326"/>
      <c r="AC119" s="7" t="s">
        <v>44</v>
      </c>
      <c r="AD119" s="325" t="s">
        <v>63</v>
      </c>
      <c r="AE119" s="325"/>
      <c r="AF119" s="325"/>
      <c r="AG119" s="325"/>
      <c r="AH119" s="325"/>
      <c r="AI119" s="325"/>
      <c r="AJ119" s="326"/>
      <c r="AK119" s="3"/>
      <c r="AL119" s="7" t="s">
        <v>44</v>
      </c>
      <c r="AM119" s="325" t="s">
        <v>63</v>
      </c>
      <c r="AN119" s="325"/>
      <c r="AO119" s="325"/>
      <c r="AP119" s="325"/>
      <c r="AQ119" s="325"/>
      <c r="AR119" s="325"/>
      <c r="AS119" s="326"/>
      <c r="AU119" s="7" t="s">
        <v>44</v>
      </c>
      <c r="AV119" s="325" t="s">
        <v>63</v>
      </c>
      <c r="AW119" s="325"/>
      <c r="AX119" s="325"/>
      <c r="AY119" s="325"/>
      <c r="AZ119" s="325"/>
      <c r="BA119" s="325"/>
      <c r="BB119" s="326"/>
      <c r="BD119" s="7" t="s">
        <v>44</v>
      </c>
      <c r="BE119" s="325" t="s">
        <v>63</v>
      </c>
      <c r="BF119" s="325"/>
      <c r="BG119" s="325"/>
      <c r="BH119" s="325"/>
      <c r="BI119" s="325"/>
      <c r="BJ119" s="325"/>
      <c r="BK119" s="326"/>
      <c r="BM119" s="7" t="s">
        <v>44</v>
      </c>
      <c r="BN119" s="325" t="s">
        <v>63</v>
      </c>
      <c r="BO119" s="325"/>
      <c r="BP119" s="325"/>
      <c r="BQ119" s="325"/>
      <c r="BR119" s="325"/>
      <c r="BS119" s="325"/>
      <c r="BT119" s="326"/>
    </row>
    <row r="120" spans="2:72" x14ac:dyDescent="0.25">
      <c r="B120" s="5"/>
      <c r="C120" s="3" t="s">
        <v>46</v>
      </c>
      <c r="I120" s="10"/>
      <c r="K120" s="5"/>
      <c r="L120" s="3" t="s">
        <v>46</v>
      </c>
      <c r="M120" s="3"/>
      <c r="N120" s="3"/>
      <c r="O120" s="3"/>
      <c r="P120" s="3"/>
      <c r="Q120" s="3"/>
      <c r="R120" s="10"/>
      <c r="T120" s="5"/>
      <c r="U120" s="3" t="s">
        <v>46</v>
      </c>
      <c r="V120" s="3"/>
      <c r="W120" s="3"/>
      <c r="X120" s="3"/>
      <c r="Y120" s="3"/>
      <c r="Z120" s="3"/>
      <c r="AA120" s="10"/>
      <c r="AC120" s="5"/>
      <c r="AD120" s="3" t="s">
        <v>46</v>
      </c>
      <c r="AE120" s="3"/>
      <c r="AF120" s="3"/>
      <c r="AG120" s="3"/>
      <c r="AH120" s="3"/>
      <c r="AI120" s="3"/>
      <c r="AJ120" s="10"/>
      <c r="AK120" s="3"/>
      <c r="AL120" s="5"/>
      <c r="AM120" s="3" t="s">
        <v>46</v>
      </c>
      <c r="AN120" s="3"/>
      <c r="AO120" s="3"/>
      <c r="AP120" s="3"/>
      <c r="AQ120" s="3"/>
      <c r="AR120" s="3"/>
      <c r="AS120" s="10"/>
      <c r="AU120" s="5"/>
      <c r="AV120" s="3" t="s">
        <v>46</v>
      </c>
      <c r="AW120" s="3"/>
      <c r="AX120" s="3"/>
      <c r="AY120" s="3"/>
      <c r="AZ120" s="3"/>
      <c r="BA120" s="3"/>
      <c r="BB120" s="10"/>
      <c r="BD120" s="5"/>
      <c r="BE120" s="3" t="s">
        <v>46</v>
      </c>
      <c r="BF120" s="3"/>
      <c r="BG120" s="3"/>
      <c r="BH120" s="3"/>
      <c r="BI120" s="3"/>
      <c r="BJ120" s="3"/>
      <c r="BK120" s="10"/>
      <c r="BM120" s="5"/>
      <c r="BN120" s="3" t="s">
        <v>46</v>
      </c>
      <c r="BO120" s="3"/>
      <c r="BP120" s="3"/>
      <c r="BQ120" s="3"/>
      <c r="BR120" s="3"/>
      <c r="BS120" s="3"/>
      <c r="BT120" s="10"/>
    </row>
    <row r="121" spans="2:72" ht="15.75" thickBot="1" x14ac:dyDescent="0.3">
      <c r="B121" s="6"/>
      <c r="C121" s="11"/>
      <c r="D121" s="11" t="s">
        <v>47</v>
      </c>
      <c r="E121" s="11" t="s">
        <v>48</v>
      </c>
      <c r="F121" s="11" t="s">
        <v>47</v>
      </c>
      <c r="G121" s="11" t="s">
        <v>48</v>
      </c>
      <c r="H121" s="11" t="s">
        <v>47</v>
      </c>
      <c r="I121" s="12" t="s">
        <v>48</v>
      </c>
      <c r="K121" s="6"/>
      <c r="L121" s="11"/>
      <c r="M121" s="11" t="s">
        <v>47</v>
      </c>
      <c r="N121" s="11" t="s">
        <v>48</v>
      </c>
      <c r="O121" s="11" t="s">
        <v>47</v>
      </c>
      <c r="P121" s="11" t="s">
        <v>48</v>
      </c>
      <c r="Q121" s="11" t="s">
        <v>47</v>
      </c>
      <c r="R121" s="12" t="s">
        <v>48</v>
      </c>
      <c r="T121" s="6"/>
      <c r="U121" s="11"/>
      <c r="V121" s="11" t="s">
        <v>47</v>
      </c>
      <c r="W121" s="11" t="s">
        <v>48</v>
      </c>
      <c r="X121" s="11" t="s">
        <v>47</v>
      </c>
      <c r="Y121" s="11" t="s">
        <v>48</v>
      </c>
      <c r="Z121" s="11" t="s">
        <v>47</v>
      </c>
      <c r="AA121" s="12" t="s">
        <v>48</v>
      </c>
      <c r="AC121" s="6"/>
      <c r="AD121" s="11"/>
      <c r="AE121" s="11" t="s">
        <v>47</v>
      </c>
      <c r="AF121" s="11" t="s">
        <v>48</v>
      </c>
      <c r="AG121" s="11" t="s">
        <v>47</v>
      </c>
      <c r="AH121" s="11" t="s">
        <v>48</v>
      </c>
      <c r="AI121" s="11" t="s">
        <v>47</v>
      </c>
      <c r="AJ121" s="12" t="s">
        <v>48</v>
      </c>
      <c r="AK121" s="3"/>
      <c r="AL121" s="6"/>
      <c r="AM121" s="11"/>
      <c r="AN121" s="11" t="s">
        <v>47</v>
      </c>
      <c r="AO121" s="11" t="s">
        <v>48</v>
      </c>
      <c r="AP121" s="11" t="s">
        <v>47</v>
      </c>
      <c r="AQ121" s="11" t="s">
        <v>48</v>
      </c>
      <c r="AR121" s="11" t="s">
        <v>47</v>
      </c>
      <c r="AS121" s="12" t="s">
        <v>48</v>
      </c>
      <c r="AU121" s="6"/>
      <c r="AV121" s="11"/>
      <c r="AW121" s="11" t="s">
        <v>47</v>
      </c>
      <c r="AX121" s="11" t="s">
        <v>48</v>
      </c>
      <c r="AY121" s="11" t="s">
        <v>47</v>
      </c>
      <c r="AZ121" s="11" t="s">
        <v>48</v>
      </c>
      <c r="BA121" s="11" t="s">
        <v>47</v>
      </c>
      <c r="BB121" s="12" t="s">
        <v>48</v>
      </c>
      <c r="BD121" s="6"/>
      <c r="BE121" s="11"/>
      <c r="BF121" s="11" t="s">
        <v>47</v>
      </c>
      <c r="BG121" s="11" t="s">
        <v>48</v>
      </c>
      <c r="BH121" s="11" t="s">
        <v>47</v>
      </c>
      <c r="BI121" s="11" t="s">
        <v>48</v>
      </c>
      <c r="BJ121" s="11" t="s">
        <v>47</v>
      </c>
      <c r="BK121" s="12" t="s">
        <v>48</v>
      </c>
      <c r="BM121" s="6"/>
      <c r="BN121" s="11"/>
      <c r="BO121" s="11" t="s">
        <v>47</v>
      </c>
      <c r="BP121" s="11" t="s">
        <v>48</v>
      </c>
      <c r="BQ121" s="11" t="s">
        <v>47</v>
      </c>
      <c r="BR121" s="11" t="s">
        <v>48</v>
      </c>
      <c r="BS121" s="11" t="s">
        <v>47</v>
      </c>
      <c r="BT121" s="12" t="s">
        <v>48</v>
      </c>
    </row>
    <row r="122" spans="2:72" x14ac:dyDescent="0.25">
      <c r="B122" s="5" t="s">
        <v>49</v>
      </c>
      <c r="C122" s="3">
        <f>C65/$E$20</f>
        <v>0.39533153710065433</v>
      </c>
      <c r="D122" s="3">
        <f t="shared" ref="D122:I122" si="325">D65/$E$20</f>
        <v>0.4196523928004115</v>
      </c>
      <c r="E122" s="3">
        <f t="shared" si="325"/>
        <v>0.52978206947016726</v>
      </c>
      <c r="F122" s="3">
        <f t="shared" si="325"/>
        <v>0.46355731806908818</v>
      </c>
      <c r="G122" s="3">
        <f t="shared" si="325"/>
        <v>0.86295916632298886</v>
      </c>
      <c r="H122" s="3">
        <f t="shared" si="325"/>
        <v>0.51205566993539409</v>
      </c>
      <c r="I122" s="10">
        <f t="shared" si="325"/>
        <v>1.4056695491518572</v>
      </c>
      <c r="K122" s="5" t="s">
        <v>49</v>
      </c>
      <c r="L122" s="3">
        <f>L65/$E$20</f>
        <v>0.21029613788815285</v>
      </c>
      <c r="M122" s="3">
        <f t="shared" ref="M122:R122" si="326">M65/$E$20</f>
        <v>0.22323358796184067</v>
      </c>
      <c r="N122" s="3">
        <f t="shared" si="326"/>
        <v>0.28181693762418752</v>
      </c>
      <c r="O122" s="3">
        <f t="shared" si="326"/>
        <v>0.24658876039757757</v>
      </c>
      <c r="P122" s="3">
        <f t="shared" si="326"/>
        <v>0.45905009543091257</v>
      </c>
      <c r="Q122" s="3">
        <f t="shared" si="326"/>
        <v>0.27238740061288647</v>
      </c>
      <c r="R122" s="10">
        <f t="shared" si="326"/>
        <v>0.74774423386908517</v>
      </c>
      <c r="T122" s="5" t="s">
        <v>49</v>
      </c>
      <c r="U122" s="3">
        <f>U65/$E$20</f>
        <v>1.7802666758072259E-2</v>
      </c>
      <c r="V122" s="3">
        <f t="shared" ref="V122:AA122" si="327">V65/$E$20</f>
        <v>1.8897889498128283E-2</v>
      </c>
      <c r="W122" s="3">
        <f t="shared" si="327"/>
        <v>2.3857276113992236E-2</v>
      </c>
      <c r="X122" s="3">
        <f t="shared" si="327"/>
        <v>2.0875026863208548E-2</v>
      </c>
      <c r="Y122" s="3">
        <f t="shared" si="327"/>
        <v>3.8860988871627755E-2</v>
      </c>
      <c r="Z122" s="3">
        <f t="shared" si="327"/>
        <v>2.3059016541653418E-2</v>
      </c>
      <c r="AA122" s="10">
        <f t="shared" si="327"/>
        <v>6.3300455964252406E-2</v>
      </c>
      <c r="AC122" s="5" t="s">
        <v>49</v>
      </c>
      <c r="AD122" s="3">
        <f>AD65/$E$20</f>
        <v>2.1390062844163914E-2</v>
      </c>
      <c r="AE122" s="3">
        <f t="shared" ref="AE122:AJ122" si="328">AE65/$E$20</f>
        <v>2.2705982731701733E-2</v>
      </c>
      <c r="AF122" s="3">
        <f t="shared" si="328"/>
        <v>2.8664729970158849E-2</v>
      </c>
      <c r="AG122" s="3">
        <f t="shared" si="328"/>
        <v>2.508153090464248E-2</v>
      </c>
      <c r="AH122" s="3">
        <f t="shared" si="328"/>
        <v>4.6691824626418049E-2</v>
      </c>
      <c r="AI122" s="3">
        <f t="shared" si="328"/>
        <v>2.7705613976452992E-2</v>
      </c>
      <c r="AJ122" s="10">
        <f t="shared" si="328"/>
        <v>7.6056062248406983E-2</v>
      </c>
      <c r="AK122" s="3"/>
      <c r="AL122" s="5" t="s">
        <v>49</v>
      </c>
      <c r="AM122" s="3">
        <f>AM65/$E$20</f>
        <v>3.9192729602236166E-2</v>
      </c>
      <c r="AN122" s="3">
        <f t="shared" ref="AN122:AS122" si="329">AN65/$E$20</f>
        <v>4.1603872229830016E-2</v>
      </c>
      <c r="AO122" s="3">
        <f t="shared" si="329"/>
        <v>5.2522006084151078E-2</v>
      </c>
      <c r="AP122" s="3">
        <f t="shared" si="329"/>
        <v>4.5956557767851028E-2</v>
      </c>
      <c r="AQ122" s="3">
        <f t="shared" si="329"/>
        <v>8.555281349804579E-2</v>
      </c>
      <c r="AR122" s="3">
        <f t="shared" si="329"/>
        <v>5.076463051810641E-2</v>
      </c>
      <c r="AS122" s="10">
        <f t="shared" si="329"/>
        <v>0.13935651821265937</v>
      </c>
      <c r="AU122" s="5" t="s">
        <v>49</v>
      </c>
      <c r="AV122" s="3">
        <f>AV65/$E$20</f>
        <v>1.1731688766224848E-2</v>
      </c>
      <c r="AW122" s="3">
        <f t="shared" ref="AW122:BB122" si="330">AW65/$E$20</f>
        <v>1.2453424025927062E-2</v>
      </c>
      <c r="AX122" s="3">
        <f t="shared" si="330"/>
        <v>1.5721584972787202E-2</v>
      </c>
      <c r="AY122" s="3">
        <f t="shared" si="330"/>
        <v>1.3756327716166514E-2</v>
      </c>
      <c r="AZ122" s="3">
        <f t="shared" si="330"/>
        <v>2.5608805286598049E-2</v>
      </c>
      <c r="BA122" s="3">
        <f t="shared" si="330"/>
        <v>1.5195543959684917E-2</v>
      </c>
      <c r="BB122" s="10">
        <f t="shared" si="330"/>
        <v>4.1714045329529305E-2</v>
      </c>
      <c r="BD122" s="5" t="s">
        <v>49</v>
      </c>
      <c r="BE122" s="3">
        <f>BE65/$E$20</f>
        <v>1.639481526478986E-2</v>
      </c>
      <c r="BF122" s="3">
        <f t="shared" ref="BF122:BK122" si="331">BF65/$E$20</f>
        <v>1.7403426768955309E-2</v>
      </c>
      <c r="BG122" s="3">
        <f t="shared" si="331"/>
        <v>2.1970620465197099E-2</v>
      </c>
      <c r="BH122" s="3">
        <f t="shared" si="331"/>
        <v>1.9224210266961667E-2</v>
      </c>
      <c r="BI122" s="3">
        <f t="shared" si="331"/>
        <v>3.5787825622726047E-2</v>
      </c>
      <c r="BJ122" s="3">
        <f t="shared" si="331"/>
        <v>2.1235488004443099E-2</v>
      </c>
      <c r="BK122" s="10">
        <f t="shared" si="331"/>
        <v>5.829459686090651E-2</v>
      </c>
      <c r="BM122" s="5" t="s">
        <v>49</v>
      </c>
      <c r="BN122" s="3">
        <f>BN65/$E$20</f>
        <v>2.8126504031014708E-2</v>
      </c>
      <c r="BO122" s="3">
        <f t="shared" ref="BO122:BT122" si="332">BO65/$E$20</f>
        <v>2.9856850794882369E-2</v>
      </c>
      <c r="BP122" s="3">
        <f t="shared" si="332"/>
        <v>3.7692205437984301E-2</v>
      </c>
      <c r="BQ122" s="3">
        <f t="shared" si="332"/>
        <v>3.2980537983128173E-2</v>
      </c>
      <c r="BR122" s="3">
        <f t="shared" si="332"/>
        <v>6.1396630909324096E-2</v>
      </c>
      <c r="BS122" s="3">
        <f t="shared" si="332"/>
        <v>3.6431031964128016E-2</v>
      </c>
      <c r="BT122" s="10">
        <f t="shared" si="332"/>
        <v>0.1000086421904358</v>
      </c>
    </row>
    <row r="123" spans="2:72" x14ac:dyDescent="0.25">
      <c r="B123" s="5" t="s">
        <v>50</v>
      </c>
      <c r="C123" s="3">
        <f t="shared" ref="C123:I127" si="333">C66/$E$20</f>
        <v>0.79066307420130866</v>
      </c>
      <c r="D123" s="3">
        <f t="shared" si="333"/>
        <v>0.839304785600823</v>
      </c>
      <c r="E123" s="3">
        <f t="shared" si="333"/>
        <v>1.0595641389403345</v>
      </c>
      <c r="F123" s="3">
        <f t="shared" si="333"/>
        <v>0.92711463613817635</v>
      </c>
      <c r="G123" s="3">
        <f t="shared" si="333"/>
        <v>1.7259183326459777</v>
      </c>
      <c r="H123" s="3">
        <f t="shared" si="333"/>
        <v>1.0241113398707882</v>
      </c>
      <c r="I123" s="10">
        <f t="shared" si="333"/>
        <v>2.8113390983037143</v>
      </c>
      <c r="K123" s="5" t="s">
        <v>50</v>
      </c>
      <c r="L123" s="3">
        <f t="shared" ref="L123:R123" si="334">L66/$E$20</f>
        <v>0.4205922757763057</v>
      </c>
      <c r="M123" s="3">
        <f t="shared" si="334"/>
        <v>0.44646717592368135</v>
      </c>
      <c r="N123" s="3">
        <f t="shared" si="334"/>
        <v>0.56363387524837505</v>
      </c>
      <c r="O123" s="3">
        <f t="shared" si="334"/>
        <v>0.49317752079515514</v>
      </c>
      <c r="P123" s="3">
        <f t="shared" si="334"/>
        <v>0.91810019086182515</v>
      </c>
      <c r="Q123" s="3">
        <f t="shared" si="334"/>
        <v>0.54477480122577293</v>
      </c>
      <c r="R123" s="10">
        <f t="shared" si="334"/>
        <v>1.4954884677381703</v>
      </c>
      <c r="T123" s="5" t="s">
        <v>50</v>
      </c>
      <c r="U123" s="3">
        <f t="shared" ref="U123:AA123" si="335">U66/$E$20</f>
        <v>3.5605333516144519E-2</v>
      </c>
      <c r="V123" s="3">
        <f t="shared" si="335"/>
        <v>3.7795778996256565E-2</v>
      </c>
      <c r="W123" s="3">
        <f t="shared" si="335"/>
        <v>4.7714552227984472E-2</v>
      </c>
      <c r="X123" s="3">
        <f t="shared" si="335"/>
        <v>4.1750053726417095E-2</v>
      </c>
      <c r="Y123" s="3">
        <f t="shared" si="335"/>
        <v>7.772197774325551E-2</v>
      </c>
      <c r="Z123" s="3">
        <f t="shared" si="335"/>
        <v>4.6118033083306836E-2</v>
      </c>
      <c r="AA123" s="10">
        <f t="shared" si="335"/>
        <v>0.12660091192850481</v>
      </c>
      <c r="AC123" s="5" t="s">
        <v>50</v>
      </c>
      <c r="AD123" s="3">
        <f t="shared" ref="AD123:AJ123" si="336">AD66/$E$20</f>
        <v>4.2780125688327827E-2</v>
      </c>
      <c r="AE123" s="3">
        <f t="shared" si="336"/>
        <v>4.5411965463403467E-2</v>
      </c>
      <c r="AF123" s="3">
        <f t="shared" si="336"/>
        <v>5.7329459940317698E-2</v>
      </c>
      <c r="AG123" s="3">
        <f t="shared" si="336"/>
        <v>5.016306180928496E-2</v>
      </c>
      <c r="AH123" s="3">
        <f t="shared" si="336"/>
        <v>9.3383649252836098E-2</v>
      </c>
      <c r="AI123" s="3">
        <f t="shared" si="336"/>
        <v>5.5411227952905984E-2</v>
      </c>
      <c r="AJ123" s="10">
        <f t="shared" si="336"/>
        <v>0.15211212449681397</v>
      </c>
      <c r="AK123" s="3"/>
      <c r="AL123" s="5" t="s">
        <v>50</v>
      </c>
      <c r="AM123" s="3">
        <f t="shared" ref="AM123:AS123" si="337">AM66/$E$20</f>
        <v>7.8385459204472333E-2</v>
      </c>
      <c r="AN123" s="3">
        <f t="shared" si="337"/>
        <v>8.3207744459660032E-2</v>
      </c>
      <c r="AO123" s="3">
        <f t="shared" si="337"/>
        <v>0.10504401216830216</v>
      </c>
      <c r="AP123" s="3">
        <f t="shared" si="337"/>
        <v>9.1913115535702056E-2</v>
      </c>
      <c r="AQ123" s="3">
        <f t="shared" si="337"/>
        <v>0.17110562699609158</v>
      </c>
      <c r="AR123" s="3">
        <f t="shared" si="337"/>
        <v>0.10152926103621282</v>
      </c>
      <c r="AS123" s="10">
        <f t="shared" si="337"/>
        <v>0.27871303642531875</v>
      </c>
      <c r="AU123" s="5" t="s">
        <v>50</v>
      </c>
      <c r="AV123" s="3">
        <f t="shared" ref="AV123:BB123" si="338">AV66/$E$20</f>
        <v>2.3463377532449696E-2</v>
      </c>
      <c r="AW123" s="3">
        <f t="shared" si="338"/>
        <v>2.4906848051854124E-2</v>
      </c>
      <c r="AX123" s="3">
        <f t="shared" si="338"/>
        <v>3.1443169945574403E-2</v>
      </c>
      <c r="AY123" s="3">
        <f t="shared" si="338"/>
        <v>2.7512655432333027E-2</v>
      </c>
      <c r="AZ123" s="3">
        <f t="shared" si="338"/>
        <v>5.1217610573196098E-2</v>
      </c>
      <c r="BA123" s="3">
        <f t="shared" si="338"/>
        <v>3.0391087919369834E-2</v>
      </c>
      <c r="BB123" s="10">
        <f t="shared" si="338"/>
        <v>8.342809065905861E-2</v>
      </c>
      <c r="BD123" s="5" t="s">
        <v>50</v>
      </c>
      <c r="BE123" s="3">
        <f t="shared" ref="BE123:BK123" si="339">BE66/$E$20</f>
        <v>3.2789630529579721E-2</v>
      </c>
      <c r="BF123" s="3">
        <f t="shared" si="339"/>
        <v>3.4806853537910618E-2</v>
      </c>
      <c r="BG123" s="3">
        <f t="shared" si="339"/>
        <v>4.3941240930394199E-2</v>
      </c>
      <c r="BH123" s="3">
        <f t="shared" si="339"/>
        <v>3.8448420533923333E-2</v>
      </c>
      <c r="BI123" s="3">
        <f t="shared" si="339"/>
        <v>7.1575651245452093E-2</v>
      </c>
      <c r="BJ123" s="3">
        <f t="shared" si="339"/>
        <v>4.2470976008886198E-2</v>
      </c>
      <c r="BK123" s="10">
        <f t="shared" si="339"/>
        <v>0.11658919372181302</v>
      </c>
      <c r="BM123" s="5" t="s">
        <v>50</v>
      </c>
      <c r="BN123" s="3">
        <f t="shared" ref="BN123:BT123" si="340">BN66/$E$20</f>
        <v>5.6253008062029417E-2</v>
      </c>
      <c r="BO123" s="3">
        <f t="shared" si="340"/>
        <v>5.9713701589764738E-2</v>
      </c>
      <c r="BP123" s="3">
        <f t="shared" si="340"/>
        <v>7.5384410875968602E-2</v>
      </c>
      <c r="BQ123" s="3">
        <f t="shared" si="340"/>
        <v>6.5961075966256347E-2</v>
      </c>
      <c r="BR123" s="3">
        <f t="shared" si="340"/>
        <v>0.12279326181864819</v>
      </c>
      <c r="BS123" s="3">
        <f t="shared" si="340"/>
        <v>7.2862063928256032E-2</v>
      </c>
      <c r="BT123" s="10">
        <f t="shared" si="340"/>
        <v>0.2000172843808716</v>
      </c>
    </row>
    <row r="124" spans="2:72" x14ac:dyDescent="0.25">
      <c r="B124" s="5" t="s">
        <v>51</v>
      </c>
      <c r="C124" s="3">
        <f t="shared" si="333"/>
        <v>1.9766576855032714</v>
      </c>
      <c r="D124" s="3">
        <f t="shared" si="333"/>
        <v>2.0982619640020572</v>
      </c>
      <c r="E124" s="3">
        <f t="shared" si="333"/>
        <v>2.6489103473508364</v>
      </c>
      <c r="F124" s="3">
        <f t="shared" si="333"/>
        <v>2.3177865903454409</v>
      </c>
      <c r="G124" s="3">
        <f t="shared" si="333"/>
        <v>4.3147958316149442</v>
      </c>
      <c r="H124" s="3">
        <f t="shared" si="333"/>
        <v>2.5602783496769703</v>
      </c>
      <c r="I124" s="10">
        <f t="shared" si="333"/>
        <v>7.0283477457592847</v>
      </c>
      <c r="K124" s="5" t="s">
        <v>51</v>
      </c>
      <c r="L124" s="3">
        <f t="shared" ref="L124:R124" si="341">L67/$E$20</f>
        <v>1.0514806894407642</v>
      </c>
      <c r="M124" s="3">
        <f t="shared" si="341"/>
        <v>1.1161679398092035</v>
      </c>
      <c r="N124" s="3">
        <f t="shared" si="341"/>
        <v>1.4090846881209376</v>
      </c>
      <c r="O124" s="3">
        <f t="shared" si="341"/>
        <v>1.2329438019878878</v>
      </c>
      <c r="P124" s="3">
        <f t="shared" si="341"/>
        <v>2.2952504771545623</v>
      </c>
      <c r="Q124" s="3">
        <f t="shared" si="341"/>
        <v>1.3619370030644322</v>
      </c>
      <c r="R124" s="10">
        <f t="shared" si="341"/>
        <v>3.7387211693454261</v>
      </c>
      <c r="T124" s="5" t="s">
        <v>51</v>
      </c>
      <c r="U124" s="3">
        <f t="shared" ref="U124:AA124" si="342">U67/$E$20</f>
        <v>8.901333379036129E-2</v>
      </c>
      <c r="V124" s="3">
        <f t="shared" si="342"/>
        <v>9.4489447490641407E-2</v>
      </c>
      <c r="W124" s="3">
        <f t="shared" si="342"/>
        <v>0.11928638056996117</v>
      </c>
      <c r="X124" s="3">
        <f t="shared" si="342"/>
        <v>0.10437513431604271</v>
      </c>
      <c r="Y124" s="3">
        <f t="shared" si="342"/>
        <v>0.19430494435813878</v>
      </c>
      <c r="Z124" s="3">
        <f t="shared" si="342"/>
        <v>0.11529508270826709</v>
      </c>
      <c r="AA124" s="10">
        <f t="shared" si="342"/>
        <v>0.316502279821262</v>
      </c>
      <c r="AC124" s="5" t="s">
        <v>51</v>
      </c>
      <c r="AD124" s="3">
        <f t="shared" ref="AD124:AJ124" si="343">AD67/$E$20</f>
        <v>0.10695031422081956</v>
      </c>
      <c r="AE124" s="3">
        <f t="shared" si="343"/>
        <v>0.11352991365850867</v>
      </c>
      <c r="AF124" s="3">
        <f t="shared" si="343"/>
        <v>0.14332364985079424</v>
      </c>
      <c r="AG124" s="3">
        <f t="shared" si="343"/>
        <v>0.1254076545232124</v>
      </c>
      <c r="AH124" s="3">
        <f t="shared" si="343"/>
        <v>0.23345912313209025</v>
      </c>
      <c r="AI124" s="3">
        <f t="shared" si="343"/>
        <v>0.13852806988226496</v>
      </c>
      <c r="AJ124" s="10">
        <f t="shared" si="343"/>
        <v>0.38028031124203487</v>
      </c>
      <c r="AK124" s="3"/>
      <c r="AL124" s="5" t="s">
        <v>51</v>
      </c>
      <c r="AM124" s="3">
        <f t="shared" ref="AM124:AS124" si="344">AM67/$E$20</f>
        <v>0.19596364801118082</v>
      </c>
      <c r="AN124" s="3">
        <f t="shared" si="344"/>
        <v>0.20801936114915009</v>
      </c>
      <c r="AO124" s="3">
        <f t="shared" si="344"/>
        <v>0.26261003042075537</v>
      </c>
      <c r="AP124" s="3">
        <f t="shared" si="344"/>
        <v>0.22978278883925513</v>
      </c>
      <c r="AQ124" s="3">
        <f t="shared" si="344"/>
        <v>0.42776406749022894</v>
      </c>
      <c r="AR124" s="3">
        <f t="shared" si="344"/>
        <v>0.25382315259053206</v>
      </c>
      <c r="AS124" s="10">
        <f t="shared" si="344"/>
        <v>0.69678259106329687</v>
      </c>
      <c r="AU124" s="5" t="s">
        <v>51</v>
      </c>
      <c r="AV124" s="3">
        <f t="shared" ref="AV124:BB124" si="345">AV67/$E$20</f>
        <v>5.8658443831124243E-2</v>
      </c>
      <c r="AW124" s="3">
        <f t="shared" si="345"/>
        <v>6.2267120129635312E-2</v>
      </c>
      <c r="AX124" s="3">
        <f t="shared" si="345"/>
        <v>7.8607924863936016E-2</v>
      </c>
      <c r="AY124" s="3">
        <f t="shared" si="345"/>
        <v>6.8781638580832569E-2</v>
      </c>
      <c r="AZ124" s="3">
        <f t="shared" si="345"/>
        <v>0.12804402643299026</v>
      </c>
      <c r="BA124" s="3">
        <f t="shared" si="345"/>
        <v>7.5977719798424589E-2</v>
      </c>
      <c r="BB124" s="10">
        <f t="shared" si="345"/>
        <v>0.20857022664764649</v>
      </c>
      <c r="BD124" s="5" t="s">
        <v>51</v>
      </c>
      <c r="BE124" s="3">
        <f t="shared" ref="BE124:BK124" si="346">BE67/$E$20</f>
        <v>8.1974076323949305E-2</v>
      </c>
      <c r="BF124" s="3">
        <f t="shared" si="346"/>
        <v>8.7017133844776537E-2</v>
      </c>
      <c r="BG124" s="3">
        <f t="shared" si="346"/>
        <v>0.10985310232598548</v>
      </c>
      <c r="BH124" s="3">
        <f t="shared" si="346"/>
        <v>9.6121051334808333E-2</v>
      </c>
      <c r="BI124" s="3">
        <f t="shared" si="346"/>
        <v>0.17893912811363025</v>
      </c>
      <c r="BJ124" s="3">
        <f t="shared" si="346"/>
        <v>0.10617744002221552</v>
      </c>
      <c r="BK124" s="10">
        <f t="shared" si="346"/>
        <v>0.29147298430453256</v>
      </c>
      <c r="BM124" s="5" t="s">
        <v>51</v>
      </c>
      <c r="BN124" s="3">
        <f t="shared" ref="BN124:BT124" si="347">BN67/$E$20</f>
        <v>0.14063252015507355</v>
      </c>
      <c r="BO124" s="3">
        <f t="shared" si="347"/>
        <v>0.14928425397441186</v>
      </c>
      <c r="BP124" s="3">
        <f t="shared" si="347"/>
        <v>0.1884610271899215</v>
      </c>
      <c r="BQ124" s="3">
        <f t="shared" si="347"/>
        <v>0.16490268991564089</v>
      </c>
      <c r="BR124" s="3">
        <f t="shared" si="347"/>
        <v>0.30698315454662051</v>
      </c>
      <c r="BS124" s="3">
        <f t="shared" si="347"/>
        <v>0.18215515982064009</v>
      </c>
      <c r="BT124" s="10">
        <f t="shared" si="347"/>
        <v>0.50004321095217907</v>
      </c>
    </row>
    <row r="125" spans="2:72" x14ac:dyDescent="0.25">
      <c r="B125" s="5" t="s">
        <v>52</v>
      </c>
      <c r="C125" s="3">
        <f t="shared" si="333"/>
        <v>3.9533153710065427</v>
      </c>
      <c r="D125" s="3">
        <f t="shared" si="333"/>
        <v>4.1965239280041144</v>
      </c>
      <c r="E125" s="3">
        <f t="shared" si="333"/>
        <v>5.2978206947016728</v>
      </c>
      <c r="F125" s="3">
        <f t="shared" si="333"/>
        <v>4.6355731806908818</v>
      </c>
      <c r="G125" s="3">
        <f t="shared" si="333"/>
        <v>8.6295916632298884</v>
      </c>
      <c r="H125" s="3">
        <f t="shared" si="333"/>
        <v>5.1205566993539406</v>
      </c>
      <c r="I125" s="10">
        <f t="shared" si="333"/>
        <v>14.056695491518569</v>
      </c>
      <c r="K125" s="5" t="s">
        <v>52</v>
      </c>
      <c r="L125" s="3">
        <f t="shared" ref="L125:R125" si="348">L68/$E$20</f>
        <v>2.1029613788815285</v>
      </c>
      <c r="M125" s="3">
        <f t="shared" si="348"/>
        <v>2.232335879618407</v>
      </c>
      <c r="N125" s="3">
        <f t="shared" si="348"/>
        <v>2.8181693762418751</v>
      </c>
      <c r="O125" s="3">
        <f t="shared" si="348"/>
        <v>2.4658876039757756</v>
      </c>
      <c r="P125" s="3">
        <f t="shared" si="348"/>
        <v>4.5905009543091246</v>
      </c>
      <c r="Q125" s="3">
        <f t="shared" si="348"/>
        <v>2.7238740061288644</v>
      </c>
      <c r="R125" s="10">
        <f t="shared" si="348"/>
        <v>7.4774423386908522</v>
      </c>
      <c r="T125" s="5" t="s">
        <v>52</v>
      </c>
      <c r="U125" s="3">
        <f t="shared" ref="U125:AA125" si="349">U68/$E$20</f>
        <v>0.17802666758072258</v>
      </c>
      <c r="V125" s="3">
        <f t="shared" si="349"/>
        <v>0.18897889498128281</v>
      </c>
      <c r="W125" s="3">
        <f t="shared" si="349"/>
        <v>0.23857276113992235</v>
      </c>
      <c r="X125" s="3">
        <f t="shared" si="349"/>
        <v>0.20875026863208543</v>
      </c>
      <c r="Y125" s="3">
        <f t="shared" si="349"/>
        <v>0.38860988871627755</v>
      </c>
      <c r="Z125" s="3">
        <f t="shared" si="349"/>
        <v>0.23059016541653418</v>
      </c>
      <c r="AA125" s="10">
        <f t="shared" si="349"/>
        <v>0.633004559642524</v>
      </c>
      <c r="AC125" s="5" t="s">
        <v>52</v>
      </c>
      <c r="AD125" s="3">
        <f t="shared" ref="AD125:AJ125" si="350">AD68/$E$20</f>
        <v>0.21390062844163912</v>
      </c>
      <c r="AE125" s="3">
        <f t="shared" si="350"/>
        <v>0.22705982731701735</v>
      </c>
      <c r="AF125" s="3">
        <f t="shared" si="350"/>
        <v>0.28664729970158848</v>
      </c>
      <c r="AG125" s="3">
        <f t="shared" si="350"/>
        <v>0.25081530904642479</v>
      </c>
      <c r="AH125" s="3">
        <f t="shared" si="350"/>
        <v>0.46691824626418049</v>
      </c>
      <c r="AI125" s="3">
        <f t="shared" si="350"/>
        <v>0.27705613976452992</v>
      </c>
      <c r="AJ125" s="10">
        <f t="shared" si="350"/>
        <v>0.76056062248406975</v>
      </c>
      <c r="AK125" s="3"/>
      <c r="AL125" s="5" t="s">
        <v>52</v>
      </c>
      <c r="AM125" s="3">
        <f t="shared" ref="AM125:AS125" si="351">AM68/$E$20</f>
        <v>0.39192729602236165</v>
      </c>
      <c r="AN125" s="3">
        <f t="shared" si="351"/>
        <v>0.41603872229830019</v>
      </c>
      <c r="AO125" s="3">
        <f t="shared" si="351"/>
        <v>0.52522006084151074</v>
      </c>
      <c r="AP125" s="3">
        <f t="shared" si="351"/>
        <v>0.45956557767851025</v>
      </c>
      <c r="AQ125" s="3">
        <f t="shared" si="351"/>
        <v>0.85552813498045788</v>
      </c>
      <c r="AR125" s="3">
        <f t="shared" si="351"/>
        <v>0.50764630518106413</v>
      </c>
      <c r="AS125" s="10">
        <f t="shared" si="351"/>
        <v>1.3935651821265937</v>
      </c>
      <c r="AU125" s="5" t="s">
        <v>52</v>
      </c>
      <c r="AV125" s="3">
        <f t="shared" ref="AV125:BB125" si="352">AV68/$E$20</f>
        <v>0.11731688766224849</v>
      </c>
      <c r="AW125" s="3">
        <f t="shared" si="352"/>
        <v>0.12453424025927062</v>
      </c>
      <c r="AX125" s="3">
        <f t="shared" si="352"/>
        <v>0.15721584972787203</v>
      </c>
      <c r="AY125" s="3">
        <f t="shared" si="352"/>
        <v>0.13756327716166514</v>
      </c>
      <c r="AZ125" s="3">
        <f t="shared" si="352"/>
        <v>0.25608805286598052</v>
      </c>
      <c r="BA125" s="3">
        <f t="shared" si="352"/>
        <v>0.15195543959684918</v>
      </c>
      <c r="BB125" s="10">
        <f t="shared" si="352"/>
        <v>0.41714045329529298</v>
      </c>
      <c r="BD125" s="5" t="s">
        <v>52</v>
      </c>
      <c r="BE125" s="3">
        <f t="shared" ref="BE125:BK125" si="353">BE68/$E$20</f>
        <v>0.16394815264789861</v>
      </c>
      <c r="BF125" s="3">
        <f t="shared" si="353"/>
        <v>0.17403426768955307</v>
      </c>
      <c r="BG125" s="3">
        <f t="shared" si="353"/>
        <v>0.21970620465197097</v>
      </c>
      <c r="BH125" s="3">
        <f t="shared" si="353"/>
        <v>0.19224210266961667</v>
      </c>
      <c r="BI125" s="3">
        <f t="shared" si="353"/>
        <v>0.35787825622726049</v>
      </c>
      <c r="BJ125" s="3">
        <f t="shared" si="353"/>
        <v>0.21235488004443104</v>
      </c>
      <c r="BK125" s="10">
        <f t="shared" si="353"/>
        <v>0.58294596860906511</v>
      </c>
      <c r="BM125" s="5" t="s">
        <v>52</v>
      </c>
      <c r="BN125" s="3">
        <f t="shared" ref="BN125:BT125" si="354">BN68/$E$20</f>
        <v>0.2812650403101471</v>
      </c>
      <c r="BO125" s="3">
        <f t="shared" si="354"/>
        <v>0.29856850794882372</v>
      </c>
      <c r="BP125" s="3">
        <f t="shared" si="354"/>
        <v>0.376922054379843</v>
      </c>
      <c r="BQ125" s="3">
        <f t="shared" si="354"/>
        <v>0.32980537983128178</v>
      </c>
      <c r="BR125" s="3">
        <f t="shared" si="354"/>
        <v>0.61396630909324101</v>
      </c>
      <c r="BS125" s="3">
        <f t="shared" si="354"/>
        <v>0.36431031964128019</v>
      </c>
      <c r="BT125" s="10">
        <f t="shared" si="354"/>
        <v>1.0000864219043581</v>
      </c>
    </row>
    <row r="126" spans="2:72" x14ac:dyDescent="0.25">
      <c r="B126" s="5" t="s">
        <v>53</v>
      </c>
      <c r="C126" s="3">
        <f t="shared" si="333"/>
        <v>5.9299730565098141</v>
      </c>
      <c r="D126" s="3">
        <f t="shared" si="333"/>
        <v>6.2947858920061712</v>
      </c>
      <c r="E126" s="3">
        <f t="shared" si="333"/>
        <v>7.9467310420525088</v>
      </c>
      <c r="F126" s="3">
        <f t="shared" si="333"/>
        <v>6.9533597710363226</v>
      </c>
      <c r="G126" s="3">
        <f t="shared" si="333"/>
        <v>12.944387494844833</v>
      </c>
      <c r="H126" s="3">
        <f t="shared" si="333"/>
        <v>7.6808350490309101</v>
      </c>
      <c r="I126" s="10">
        <f t="shared" si="333"/>
        <v>21.085043237277855</v>
      </c>
      <c r="K126" s="5" t="s">
        <v>53</v>
      </c>
      <c r="L126" s="3">
        <f t="shared" ref="L126:R126" si="355">L69/$E$20</f>
        <v>3.1544420683222927</v>
      </c>
      <c r="M126" s="3">
        <f t="shared" si="355"/>
        <v>3.3485038194276102</v>
      </c>
      <c r="N126" s="3">
        <f t="shared" si="355"/>
        <v>4.2272540643628123</v>
      </c>
      <c r="O126" s="3">
        <f t="shared" si="355"/>
        <v>3.6988314059636638</v>
      </c>
      <c r="P126" s="3">
        <f t="shared" si="355"/>
        <v>6.8857514314636878</v>
      </c>
      <c r="Q126" s="3">
        <f t="shared" si="355"/>
        <v>4.0858110091932973</v>
      </c>
      <c r="R126" s="10">
        <f t="shared" si="355"/>
        <v>11.216163508036278</v>
      </c>
      <c r="T126" s="5" t="s">
        <v>53</v>
      </c>
      <c r="U126" s="3">
        <f t="shared" ref="U126:AA126" si="356">U69/$E$20</f>
        <v>0.26704000137108386</v>
      </c>
      <c r="V126" s="3">
        <f t="shared" si="356"/>
        <v>0.28346834247192421</v>
      </c>
      <c r="W126" s="3">
        <f t="shared" si="356"/>
        <v>0.35785914170988348</v>
      </c>
      <c r="X126" s="3">
        <f t="shared" si="356"/>
        <v>0.31312540294812818</v>
      </c>
      <c r="Y126" s="3">
        <f t="shared" si="356"/>
        <v>0.58291483307441638</v>
      </c>
      <c r="Z126" s="3">
        <f t="shared" si="356"/>
        <v>0.34588524812480131</v>
      </c>
      <c r="AA126" s="10">
        <f t="shared" si="356"/>
        <v>0.949506839463786</v>
      </c>
      <c r="AC126" s="5" t="s">
        <v>53</v>
      </c>
      <c r="AD126" s="3">
        <f t="shared" ref="AD126:AJ126" si="357">AD69/$E$20</f>
        <v>0.32085094266245867</v>
      </c>
      <c r="AE126" s="3">
        <f t="shared" si="357"/>
        <v>0.34058974097552602</v>
      </c>
      <c r="AF126" s="3">
        <f t="shared" si="357"/>
        <v>0.42997094955238269</v>
      </c>
      <c r="AG126" s="3">
        <f t="shared" si="357"/>
        <v>0.37622296356963719</v>
      </c>
      <c r="AH126" s="3">
        <f t="shared" si="357"/>
        <v>0.70037736939627071</v>
      </c>
      <c r="AI126" s="3">
        <f t="shared" si="357"/>
        <v>0.41558420964679488</v>
      </c>
      <c r="AJ126" s="10">
        <f t="shared" si="357"/>
        <v>1.1408409337261047</v>
      </c>
      <c r="AK126" s="3"/>
      <c r="AL126" s="5" t="s">
        <v>53</v>
      </c>
      <c r="AM126" s="3">
        <f t="shared" ref="AM126:AS126" si="358">AM69/$E$20</f>
        <v>0.58789094403354247</v>
      </c>
      <c r="AN126" s="3">
        <f t="shared" si="358"/>
        <v>0.62405808344745017</v>
      </c>
      <c r="AO126" s="3">
        <f t="shared" si="358"/>
        <v>0.78783009126226611</v>
      </c>
      <c r="AP126" s="3">
        <f t="shared" si="358"/>
        <v>0.68934836651776532</v>
      </c>
      <c r="AQ126" s="3">
        <f t="shared" si="358"/>
        <v>1.283292202470687</v>
      </c>
      <c r="AR126" s="3">
        <f t="shared" si="358"/>
        <v>0.76146945777159614</v>
      </c>
      <c r="AS126" s="10">
        <f t="shared" si="358"/>
        <v>2.0903477731898907</v>
      </c>
      <c r="AU126" s="5" t="s">
        <v>53</v>
      </c>
      <c r="AV126" s="3">
        <f t="shared" ref="AV126:BB126" si="359">AV69/$E$20</f>
        <v>0.17597533149337274</v>
      </c>
      <c r="AW126" s="3">
        <f t="shared" si="359"/>
        <v>0.18680136038890596</v>
      </c>
      <c r="AX126" s="3">
        <f t="shared" si="359"/>
        <v>0.23582377459180806</v>
      </c>
      <c r="AY126" s="3">
        <f t="shared" si="359"/>
        <v>0.20634491574249769</v>
      </c>
      <c r="AZ126" s="3">
        <f t="shared" si="359"/>
        <v>0.38413207929897075</v>
      </c>
      <c r="BA126" s="3">
        <f t="shared" si="359"/>
        <v>0.22793315939527378</v>
      </c>
      <c r="BB126" s="10">
        <f t="shared" si="359"/>
        <v>0.62571067994293961</v>
      </c>
      <c r="BD126" s="5" t="s">
        <v>53</v>
      </c>
      <c r="BE126" s="3">
        <f t="shared" ref="BE126:BK126" si="360">BE69/$E$20</f>
        <v>0.24592222897184793</v>
      </c>
      <c r="BF126" s="3">
        <f t="shared" si="360"/>
        <v>0.26105140153432965</v>
      </c>
      <c r="BG126" s="3">
        <f t="shared" si="360"/>
        <v>0.32955930697795649</v>
      </c>
      <c r="BH126" s="3">
        <f t="shared" si="360"/>
        <v>0.28836315400442503</v>
      </c>
      <c r="BI126" s="3">
        <f t="shared" si="360"/>
        <v>0.53681738434089077</v>
      </c>
      <c r="BJ126" s="3">
        <f t="shared" si="360"/>
        <v>0.3185323200666465</v>
      </c>
      <c r="BK126" s="10">
        <f t="shared" si="360"/>
        <v>0.87441895291359772</v>
      </c>
      <c r="BM126" s="5" t="s">
        <v>53</v>
      </c>
      <c r="BN126" s="3">
        <f t="shared" ref="BN126:BT126" si="361">BN69/$E$20</f>
        <v>0.42189756046522059</v>
      </c>
      <c r="BO126" s="3">
        <f t="shared" si="361"/>
        <v>0.44785276192323553</v>
      </c>
      <c r="BP126" s="3">
        <f t="shared" si="361"/>
        <v>0.56538308156976447</v>
      </c>
      <c r="BQ126" s="3">
        <f t="shared" si="361"/>
        <v>0.49470806974692272</v>
      </c>
      <c r="BR126" s="3">
        <f t="shared" si="361"/>
        <v>0.92094946363986152</v>
      </c>
      <c r="BS126" s="3">
        <f t="shared" si="361"/>
        <v>0.54646547946192026</v>
      </c>
      <c r="BT126" s="10">
        <f t="shared" si="361"/>
        <v>1.5001296328565372</v>
      </c>
    </row>
    <row r="127" spans="2:72" ht="15.75" thickBot="1" x14ac:dyDescent="0.3">
      <c r="B127" s="6" t="s">
        <v>54</v>
      </c>
      <c r="C127" s="11">
        <f t="shared" si="333"/>
        <v>7.9066307420130855</v>
      </c>
      <c r="D127" s="11">
        <f t="shared" si="333"/>
        <v>8.3930478560082289</v>
      </c>
      <c r="E127" s="11">
        <f t="shared" si="333"/>
        <v>10.595641389403346</v>
      </c>
      <c r="F127" s="11">
        <f t="shared" si="333"/>
        <v>9.2711463613817635</v>
      </c>
      <c r="G127" s="11">
        <f t="shared" si="333"/>
        <v>17.259183326459777</v>
      </c>
      <c r="H127" s="11">
        <f t="shared" si="333"/>
        <v>10.241113398707881</v>
      </c>
      <c r="I127" s="12">
        <f t="shared" si="333"/>
        <v>28.113390983037139</v>
      </c>
      <c r="K127" s="6" t="s">
        <v>54</v>
      </c>
      <c r="L127" s="11">
        <f t="shared" ref="L127:R127" si="362">L70/$E$20</f>
        <v>4.2059227577630569</v>
      </c>
      <c r="M127" s="11">
        <f t="shared" si="362"/>
        <v>4.4646717592368139</v>
      </c>
      <c r="N127" s="11">
        <f t="shared" si="362"/>
        <v>5.6363387524837503</v>
      </c>
      <c r="O127" s="11">
        <f t="shared" si="362"/>
        <v>4.9317752079515511</v>
      </c>
      <c r="P127" s="11">
        <f t="shared" si="362"/>
        <v>9.1810019086182493</v>
      </c>
      <c r="Q127" s="11">
        <f t="shared" si="362"/>
        <v>5.4477480122577289</v>
      </c>
      <c r="R127" s="12">
        <f t="shared" si="362"/>
        <v>14.954884677381704</v>
      </c>
      <c r="T127" s="6" t="s">
        <v>54</v>
      </c>
      <c r="U127" s="11">
        <f t="shared" ref="U127:AA127" si="363">U70/$E$20</f>
        <v>0.35605333516144516</v>
      </c>
      <c r="V127" s="11">
        <f t="shared" si="363"/>
        <v>0.37795778996256563</v>
      </c>
      <c r="W127" s="11">
        <f t="shared" si="363"/>
        <v>0.47714552227984469</v>
      </c>
      <c r="X127" s="11">
        <f t="shared" si="363"/>
        <v>0.41750053726417086</v>
      </c>
      <c r="Y127" s="11">
        <f t="shared" si="363"/>
        <v>0.7772197774325551</v>
      </c>
      <c r="Z127" s="11">
        <f t="shared" si="363"/>
        <v>0.46118033083306836</v>
      </c>
      <c r="AA127" s="12">
        <f t="shared" si="363"/>
        <v>1.266009119285048</v>
      </c>
      <c r="AC127" s="6" t="s">
        <v>54</v>
      </c>
      <c r="AD127" s="11">
        <f t="shared" ref="AD127:AJ127" si="364">AD70/$E$20</f>
        <v>0.42780125688327825</v>
      </c>
      <c r="AE127" s="11">
        <f t="shared" si="364"/>
        <v>0.4541196546340347</v>
      </c>
      <c r="AF127" s="11">
        <f t="shared" si="364"/>
        <v>0.57329459940317695</v>
      </c>
      <c r="AG127" s="11">
        <f t="shared" si="364"/>
        <v>0.50163061809284959</v>
      </c>
      <c r="AH127" s="11">
        <f t="shared" si="364"/>
        <v>0.93383649252836098</v>
      </c>
      <c r="AI127" s="11">
        <f t="shared" si="364"/>
        <v>0.55411227952905984</v>
      </c>
      <c r="AJ127" s="12">
        <f t="shared" si="364"/>
        <v>1.5211212449681395</v>
      </c>
      <c r="AK127" s="3"/>
      <c r="AL127" s="6" t="s">
        <v>54</v>
      </c>
      <c r="AM127" s="11">
        <f t="shared" ref="AM127:AS127" si="365">AM70/$E$20</f>
        <v>0.7838545920447233</v>
      </c>
      <c r="AN127" s="11">
        <f t="shared" si="365"/>
        <v>0.83207744459660038</v>
      </c>
      <c r="AO127" s="11">
        <f t="shared" si="365"/>
        <v>1.0504401216830215</v>
      </c>
      <c r="AP127" s="11">
        <f t="shared" si="365"/>
        <v>0.9191311553570205</v>
      </c>
      <c r="AQ127" s="11">
        <f t="shared" si="365"/>
        <v>1.7110562699609158</v>
      </c>
      <c r="AR127" s="11">
        <f t="shared" si="365"/>
        <v>1.0152926103621283</v>
      </c>
      <c r="AS127" s="12">
        <f t="shared" si="365"/>
        <v>2.7871303642531875</v>
      </c>
      <c r="AU127" s="6" t="s">
        <v>54</v>
      </c>
      <c r="AV127" s="11">
        <f t="shared" ref="AV127:BB127" si="366">AV70/$E$20</f>
        <v>0.23463377532449697</v>
      </c>
      <c r="AW127" s="11">
        <f t="shared" si="366"/>
        <v>0.24906848051854125</v>
      </c>
      <c r="AX127" s="11">
        <f t="shared" si="366"/>
        <v>0.31443169945574406</v>
      </c>
      <c r="AY127" s="11">
        <f t="shared" si="366"/>
        <v>0.27512655432333027</v>
      </c>
      <c r="AZ127" s="11">
        <f t="shared" si="366"/>
        <v>0.51217610573196104</v>
      </c>
      <c r="BA127" s="11">
        <f t="shared" si="366"/>
        <v>0.30391087919369836</v>
      </c>
      <c r="BB127" s="12">
        <f t="shared" si="366"/>
        <v>0.83428090659058596</v>
      </c>
      <c r="BD127" s="6" t="s">
        <v>54</v>
      </c>
      <c r="BE127" s="11">
        <f t="shared" ref="BE127:BK127" si="367">BE70/$E$20</f>
        <v>0.32789630529579722</v>
      </c>
      <c r="BF127" s="11">
        <f t="shared" si="367"/>
        <v>0.34806853537910615</v>
      </c>
      <c r="BG127" s="11">
        <f t="shared" si="367"/>
        <v>0.43941240930394193</v>
      </c>
      <c r="BH127" s="11">
        <f t="shared" si="367"/>
        <v>0.38448420533923333</v>
      </c>
      <c r="BI127" s="11">
        <f t="shared" si="367"/>
        <v>0.71575651245452099</v>
      </c>
      <c r="BJ127" s="11">
        <f t="shared" si="367"/>
        <v>0.42470976008886208</v>
      </c>
      <c r="BK127" s="12">
        <f t="shared" si="367"/>
        <v>1.1658919372181302</v>
      </c>
      <c r="BM127" s="6" t="s">
        <v>54</v>
      </c>
      <c r="BN127" s="11">
        <f t="shared" ref="BN127:BT127" si="368">BN70/$E$20</f>
        <v>0.56253008062029419</v>
      </c>
      <c r="BO127" s="11">
        <f t="shared" si="368"/>
        <v>0.59713701589764745</v>
      </c>
      <c r="BP127" s="11">
        <f t="shared" si="368"/>
        <v>0.75384410875968599</v>
      </c>
      <c r="BQ127" s="11">
        <f t="shared" si="368"/>
        <v>0.65961075966256355</v>
      </c>
      <c r="BR127" s="11">
        <f t="shared" si="368"/>
        <v>1.227932618186482</v>
      </c>
      <c r="BS127" s="11">
        <f t="shared" si="368"/>
        <v>0.72862063928256038</v>
      </c>
      <c r="BT127" s="12">
        <f t="shared" si="368"/>
        <v>2.0001728438087163</v>
      </c>
    </row>
    <row r="128" spans="2:72" ht="15.75" thickBot="1" x14ac:dyDescent="0.3">
      <c r="L128" s="3"/>
      <c r="M128" s="3"/>
      <c r="N128" s="3"/>
      <c r="O128" s="3"/>
      <c r="P128" s="3"/>
      <c r="Q128" s="3"/>
      <c r="R128" s="3"/>
      <c r="U128" s="3"/>
      <c r="V128" s="3"/>
      <c r="W128" s="3"/>
      <c r="X128" s="3"/>
      <c r="Y128" s="3"/>
      <c r="Z128" s="3"/>
      <c r="AA128" s="3"/>
      <c r="AD128" s="3"/>
      <c r="AE128" s="3"/>
      <c r="AF128" s="3"/>
      <c r="AG128" s="3"/>
      <c r="AH128" s="3"/>
      <c r="AI128" s="3"/>
      <c r="AJ128" s="3"/>
      <c r="AK128" s="3"/>
      <c r="AM128" s="3"/>
      <c r="AN128" s="3"/>
      <c r="AO128" s="3"/>
      <c r="AP128" s="3"/>
      <c r="AQ128" s="3"/>
      <c r="AR128" s="3"/>
      <c r="AS128" s="3"/>
      <c r="AV128" s="3"/>
      <c r="AW128" s="3"/>
      <c r="AX128" s="3"/>
      <c r="AY128" s="3"/>
      <c r="AZ128" s="3"/>
      <c r="BA128" s="3"/>
      <c r="BB128" s="3"/>
      <c r="BE128" s="3"/>
      <c r="BF128" s="3"/>
      <c r="BG128" s="3"/>
      <c r="BH128" s="3"/>
      <c r="BI128" s="3"/>
      <c r="BJ128" s="3"/>
      <c r="BK128" s="3"/>
      <c r="BN128" s="3"/>
      <c r="BO128" s="3"/>
      <c r="BP128" s="3"/>
      <c r="BQ128" s="3"/>
      <c r="BR128" s="3"/>
      <c r="BS128" s="3"/>
      <c r="BT128" s="3"/>
    </row>
    <row r="129" spans="2:72" ht="15.75" thickBot="1" x14ac:dyDescent="0.3">
      <c r="B129" s="34" t="s">
        <v>59</v>
      </c>
      <c r="C129" s="35"/>
      <c r="D129" s="35"/>
      <c r="E129" s="35"/>
      <c r="F129" s="35"/>
      <c r="G129" s="35"/>
      <c r="H129" s="35"/>
      <c r="I129" s="36"/>
      <c r="K129" s="49" t="s">
        <v>59</v>
      </c>
      <c r="L129" s="50"/>
      <c r="M129" s="50"/>
      <c r="N129" s="50"/>
      <c r="O129" s="50"/>
      <c r="P129" s="50"/>
      <c r="Q129" s="50"/>
      <c r="R129" s="51"/>
      <c r="T129" s="52" t="s">
        <v>59</v>
      </c>
      <c r="U129" s="53"/>
      <c r="V129" s="53"/>
      <c r="W129" s="53"/>
      <c r="X129" s="53"/>
      <c r="Y129" s="53"/>
      <c r="Z129" s="53"/>
      <c r="AA129" s="54"/>
      <c r="AC129" s="52" t="s">
        <v>59</v>
      </c>
      <c r="AD129" s="53"/>
      <c r="AE129" s="53"/>
      <c r="AF129" s="53"/>
      <c r="AG129" s="53"/>
      <c r="AH129" s="53"/>
      <c r="AI129" s="53"/>
      <c r="AJ129" s="54"/>
      <c r="AK129" s="3"/>
      <c r="AL129" s="52" t="s">
        <v>59</v>
      </c>
      <c r="AM129" s="53"/>
      <c r="AN129" s="53"/>
      <c r="AO129" s="53"/>
      <c r="AP129" s="53"/>
      <c r="AQ129" s="53"/>
      <c r="AR129" s="53"/>
      <c r="AS129" s="54"/>
      <c r="AU129" s="45" t="s">
        <v>59</v>
      </c>
      <c r="AV129" s="46"/>
      <c r="AW129" s="46"/>
      <c r="AX129" s="46"/>
      <c r="AY129" s="46"/>
      <c r="AZ129" s="46"/>
      <c r="BA129" s="46"/>
      <c r="BB129" s="47"/>
      <c r="BD129" s="45" t="s">
        <v>59</v>
      </c>
      <c r="BE129" s="46"/>
      <c r="BF129" s="46"/>
      <c r="BG129" s="46"/>
      <c r="BH129" s="46"/>
      <c r="BI129" s="46"/>
      <c r="BJ129" s="46"/>
      <c r="BK129" s="47"/>
      <c r="BM129" s="45" t="s">
        <v>59</v>
      </c>
      <c r="BN129" s="46"/>
      <c r="BO129" s="46"/>
      <c r="BP129" s="46"/>
      <c r="BQ129" s="46"/>
      <c r="BR129" s="46"/>
      <c r="BS129" s="46"/>
      <c r="BT129" s="47"/>
    </row>
    <row r="130" spans="2:72" x14ac:dyDescent="0.25">
      <c r="B130" s="7" t="s">
        <v>44</v>
      </c>
      <c r="C130" s="325" t="s">
        <v>63</v>
      </c>
      <c r="D130" s="325"/>
      <c r="E130" s="325"/>
      <c r="F130" s="325"/>
      <c r="G130" s="325"/>
      <c r="H130" s="325"/>
      <c r="I130" s="326"/>
      <c r="K130" s="7" t="s">
        <v>44</v>
      </c>
      <c r="L130" s="325" t="s">
        <v>63</v>
      </c>
      <c r="M130" s="325"/>
      <c r="N130" s="325"/>
      <c r="O130" s="325"/>
      <c r="P130" s="325"/>
      <c r="Q130" s="325"/>
      <c r="R130" s="326"/>
      <c r="T130" s="7" t="s">
        <v>44</v>
      </c>
      <c r="U130" s="325" t="s">
        <v>63</v>
      </c>
      <c r="V130" s="325"/>
      <c r="W130" s="325"/>
      <c r="X130" s="325"/>
      <c r="Y130" s="325"/>
      <c r="Z130" s="325"/>
      <c r="AA130" s="326"/>
      <c r="AC130" s="7" t="s">
        <v>44</v>
      </c>
      <c r="AD130" s="325" t="s">
        <v>63</v>
      </c>
      <c r="AE130" s="325"/>
      <c r="AF130" s="325"/>
      <c r="AG130" s="325"/>
      <c r="AH130" s="325"/>
      <c r="AI130" s="325"/>
      <c r="AJ130" s="326"/>
      <c r="AK130" s="3"/>
      <c r="AL130" s="7" t="s">
        <v>44</v>
      </c>
      <c r="AM130" s="325" t="s">
        <v>63</v>
      </c>
      <c r="AN130" s="325"/>
      <c r="AO130" s="325"/>
      <c r="AP130" s="325"/>
      <c r="AQ130" s="325"/>
      <c r="AR130" s="325"/>
      <c r="AS130" s="326"/>
      <c r="AU130" s="7" t="s">
        <v>44</v>
      </c>
      <c r="AV130" s="325" t="s">
        <v>63</v>
      </c>
      <c r="AW130" s="325"/>
      <c r="AX130" s="325"/>
      <c r="AY130" s="325"/>
      <c r="AZ130" s="325"/>
      <c r="BA130" s="325"/>
      <c r="BB130" s="326"/>
      <c r="BD130" s="7" t="s">
        <v>44</v>
      </c>
      <c r="BE130" s="325" t="s">
        <v>63</v>
      </c>
      <c r="BF130" s="325"/>
      <c r="BG130" s="325"/>
      <c r="BH130" s="325"/>
      <c r="BI130" s="325"/>
      <c r="BJ130" s="325"/>
      <c r="BK130" s="326"/>
      <c r="BM130" s="7" t="s">
        <v>44</v>
      </c>
      <c r="BN130" s="325" t="s">
        <v>63</v>
      </c>
      <c r="BO130" s="325"/>
      <c r="BP130" s="325"/>
      <c r="BQ130" s="325"/>
      <c r="BR130" s="325"/>
      <c r="BS130" s="325"/>
      <c r="BT130" s="326"/>
    </row>
    <row r="131" spans="2:72" x14ac:dyDescent="0.25">
      <c r="B131" s="5"/>
      <c r="C131" s="3" t="s">
        <v>46</v>
      </c>
      <c r="I131" s="10"/>
      <c r="K131" s="5"/>
      <c r="L131" s="3" t="s">
        <v>46</v>
      </c>
      <c r="M131" s="3"/>
      <c r="N131" s="3"/>
      <c r="O131" s="3"/>
      <c r="P131" s="3"/>
      <c r="Q131" s="3"/>
      <c r="R131" s="10"/>
      <c r="T131" s="5"/>
      <c r="U131" s="3" t="s">
        <v>46</v>
      </c>
      <c r="V131" s="3"/>
      <c r="W131" s="3"/>
      <c r="X131" s="3"/>
      <c r="Y131" s="3"/>
      <c r="Z131" s="3"/>
      <c r="AA131" s="10"/>
      <c r="AC131" s="5"/>
      <c r="AD131" s="3" t="s">
        <v>46</v>
      </c>
      <c r="AE131" s="3"/>
      <c r="AF131" s="3"/>
      <c r="AG131" s="3"/>
      <c r="AH131" s="3"/>
      <c r="AI131" s="3"/>
      <c r="AJ131" s="10"/>
      <c r="AK131" s="3"/>
      <c r="AL131" s="5"/>
      <c r="AM131" s="3" t="s">
        <v>46</v>
      </c>
      <c r="AN131" s="3"/>
      <c r="AO131" s="3"/>
      <c r="AP131" s="3"/>
      <c r="AQ131" s="3"/>
      <c r="AR131" s="3"/>
      <c r="AS131" s="10"/>
      <c r="AU131" s="5"/>
      <c r="AV131" s="3" t="s">
        <v>46</v>
      </c>
      <c r="AW131" s="3"/>
      <c r="AX131" s="3"/>
      <c r="AY131" s="3"/>
      <c r="AZ131" s="3"/>
      <c r="BA131" s="3"/>
      <c r="BB131" s="10"/>
      <c r="BD131" s="5"/>
      <c r="BE131" s="3" t="s">
        <v>46</v>
      </c>
      <c r="BF131" s="3"/>
      <c r="BG131" s="3"/>
      <c r="BH131" s="3"/>
      <c r="BI131" s="3"/>
      <c r="BJ131" s="3"/>
      <c r="BK131" s="10"/>
      <c r="BM131" s="5"/>
      <c r="BN131" s="3" t="s">
        <v>46</v>
      </c>
      <c r="BO131" s="3"/>
      <c r="BP131" s="3"/>
      <c r="BQ131" s="3"/>
      <c r="BR131" s="3"/>
      <c r="BS131" s="3"/>
      <c r="BT131" s="10"/>
    </row>
    <row r="132" spans="2:72" ht="15.75" thickBot="1" x14ac:dyDescent="0.3">
      <c r="B132" s="6"/>
      <c r="C132" s="11"/>
      <c r="D132" s="11" t="s">
        <v>47</v>
      </c>
      <c r="E132" s="11" t="s">
        <v>48</v>
      </c>
      <c r="F132" s="11" t="s">
        <v>47</v>
      </c>
      <c r="G132" s="11" t="s">
        <v>48</v>
      </c>
      <c r="H132" s="11" t="s">
        <v>47</v>
      </c>
      <c r="I132" s="12" t="s">
        <v>48</v>
      </c>
      <c r="K132" s="6"/>
      <c r="L132" s="11"/>
      <c r="M132" s="11" t="s">
        <v>47</v>
      </c>
      <c r="N132" s="11" t="s">
        <v>48</v>
      </c>
      <c r="O132" s="11" t="s">
        <v>47</v>
      </c>
      <c r="P132" s="11" t="s">
        <v>48</v>
      </c>
      <c r="Q132" s="11" t="s">
        <v>47</v>
      </c>
      <c r="R132" s="12" t="s">
        <v>48</v>
      </c>
      <c r="T132" s="6"/>
      <c r="U132" s="11"/>
      <c r="V132" s="11" t="s">
        <v>47</v>
      </c>
      <c r="W132" s="11" t="s">
        <v>48</v>
      </c>
      <c r="X132" s="11" t="s">
        <v>47</v>
      </c>
      <c r="Y132" s="11" t="s">
        <v>48</v>
      </c>
      <c r="Z132" s="11" t="s">
        <v>47</v>
      </c>
      <c r="AA132" s="12" t="s">
        <v>48</v>
      </c>
      <c r="AC132" s="6"/>
      <c r="AD132" s="11"/>
      <c r="AE132" s="11" t="s">
        <v>47</v>
      </c>
      <c r="AF132" s="11" t="s">
        <v>48</v>
      </c>
      <c r="AG132" s="11" t="s">
        <v>47</v>
      </c>
      <c r="AH132" s="11" t="s">
        <v>48</v>
      </c>
      <c r="AI132" s="11" t="s">
        <v>47</v>
      </c>
      <c r="AJ132" s="12" t="s">
        <v>48</v>
      </c>
      <c r="AK132" s="3"/>
      <c r="AL132" s="6"/>
      <c r="AM132" s="11"/>
      <c r="AN132" s="11" t="s">
        <v>47</v>
      </c>
      <c r="AO132" s="11" t="s">
        <v>48</v>
      </c>
      <c r="AP132" s="11" t="s">
        <v>47</v>
      </c>
      <c r="AQ132" s="11" t="s">
        <v>48</v>
      </c>
      <c r="AR132" s="11" t="s">
        <v>47</v>
      </c>
      <c r="AS132" s="12" t="s">
        <v>48</v>
      </c>
      <c r="AU132" s="6"/>
      <c r="AV132" s="11"/>
      <c r="AW132" s="11" t="s">
        <v>47</v>
      </c>
      <c r="AX132" s="11" t="s">
        <v>48</v>
      </c>
      <c r="AY132" s="11" t="s">
        <v>47</v>
      </c>
      <c r="AZ132" s="11" t="s">
        <v>48</v>
      </c>
      <c r="BA132" s="11" t="s">
        <v>47</v>
      </c>
      <c r="BB132" s="12" t="s">
        <v>48</v>
      </c>
      <c r="BD132" s="6"/>
      <c r="BE132" s="11"/>
      <c r="BF132" s="11" t="s">
        <v>47</v>
      </c>
      <c r="BG132" s="11" t="s">
        <v>48</v>
      </c>
      <c r="BH132" s="11" t="s">
        <v>47</v>
      </c>
      <c r="BI132" s="11" t="s">
        <v>48</v>
      </c>
      <c r="BJ132" s="11" t="s">
        <v>47</v>
      </c>
      <c r="BK132" s="12" t="s">
        <v>48</v>
      </c>
      <c r="BM132" s="6"/>
      <c r="BN132" s="11"/>
      <c r="BO132" s="11" t="s">
        <v>47</v>
      </c>
      <c r="BP132" s="11" t="s">
        <v>48</v>
      </c>
      <c r="BQ132" s="11" t="s">
        <v>47</v>
      </c>
      <c r="BR132" s="11" t="s">
        <v>48</v>
      </c>
      <c r="BS132" s="11" t="s">
        <v>47</v>
      </c>
      <c r="BT132" s="12" t="s">
        <v>48</v>
      </c>
    </row>
    <row r="133" spans="2:72" x14ac:dyDescent="0.25">
      <c r="B133" s="5" t="s">
        <v>49</v>
      </c>
      <c r="C133" s="3">
        <f>C76/$E$21</f>
        <v>0.23827494848395647</v>
      </c>
      <c r="D133" s="3">
        <f t="shared" ref="D133:I133" si="369">D76/$E$21</f>
        <v>0.25293365919913502</v>
      </c>
      <c r="E133" s="3">
        <f t="shared" si="369"/>
        <v>0.31931121973349652</v>
      </c>
      <c r="F133" s="3">
        <f t="shared" si="369"/>
        <v>0.27939611621258181</v>
      </c>
      <c r="G133" s="3">
        <f t="shared" si="369"/>
        <v>0.52012433009364356</v>
      </c>
      <c r="H133" s="3">
        <f t="shared" si="369"/>
        <v>0.3086271317223781</v>
      </c>
      <c r="I133" s="10">
        <f t="shared" si="369"/>
        <v>0.84722772654575229</v>
      </c>
      <c r="K133" s="5" t="s">
        <v>49</v>
      </c>
      <c r="L133" s="3">
        <f>L76/$E$21</f>
        <v>0.12675007359434795</v>
      </c>
      <c r="M133" s="3">
        <f t="shared" ref="M133:R133" si="370">M76/$E$21</f>
        <v>0.13454775721056009</v>
      </c>
      <c r="N133" s="3">
        <f t="shared" si="370"/>
        <v>0.16985722107268358</v>
      </c>
      <c r="O133" s="3">
        <f t="shared" si="370"/>
        <v>0.1486244295392396</v>
      </c>
      <c r="P133" s="3">
        <f t="shared" si="370"/>
        <v>0.27667951472464236</v>
      </c>
      <c r="Q133" s="3">
        <f t="shared" si="370"/>
        <v>0.1641738332456627</v>
      </c>
      <c r="R133" s="10">
        <f t="shared" si="370"/>
        <v>0.45068177487435995</v>
      </c>
      <c r="T133" s="5" t="s">
        <v>49</v>
      </c>
      <c r="U133" s="3">
        <f>U76/$E$21</f>
        <v>1.0730055931704447E-2</v>
      </c>
      <c r="V133" s="3">
        <f t="shared" ref="V133:AA133" si="371">V76/$E$21</f>
        <v>1.1390170588580058E-2</v>
      </c>
      <c r="W133" s="3">
        <f t="shared" si="371"/>
        <v>1.4379301177739551E-2</v>
      </c>
      <c r="X133" s="3">
        <f t="shared" si="371"/>
        <v>1.2581834444353497E-2</v>
      </c>
      <c r="Y133" s="3">
        <f t="shared" si="371"/>
        <v>2.3422366425234493E-2</v>
      </c>
      <c r="Z133" s="3">
        <f t="shared" si="371"/>
        <v>1.3898172705493662E-2</v>
      </c>
      <c r="AA133" s="10">
        <f t="shared" si="371"/>
        <v>3.8152566816476823E-2</v>
      </c>
      <c r="AC133" s="5" t="s">
        <v>49</v>
      </c>
      <c r="AD133" s="3">
        <f>AD76/$E$21</f>
        <v>1.2892257874595235E-2</v>
      </c>
      <c r="AE133" s="3">
        <f t="shared" ref="AE133:AJ133" si="372">AE76/$E$21</f>
        <v>1.3685391520627265E-2</v>
      </c>
      <c r="AF133" s="3">
        <f t="shared" si="372"/>
        <v>1.7276858575558402E-2</v>
      </c>
      <c r="AG133" s="3">
        <f t="shared" si="372"/>
        <v>1.5117186268599767E-2</v>
      </c>
      <c r="AH133" s="3">
        <f t="shared" si="372"/>
        <v>2.8142182101320846E-2</v>
      </c>
      <c r="AI133" s="3">
        <f t="shared" si="372"/>
        <v>1.6698778426257752E-2</v>
      </c>
      <c r="AJ133" s="10">
        <f t="shared" si="372"/>
        <v>4.5840649210633813E-2</v>
      </c>
      <c r="AK133" s="3"/>
      <c r="AL133" s="5" t="s">
        <v>49</v>
      </c>
      <c r="AM133" s="3">
        <f>AM76/$E$21</f>
        <v>2.3622313806299679E-2</v>
      </c>
      <c r="AN133" s="3">
        <f t="shared" ref="AN133:AS133" si="373">AN76/$E$21</f>
        <v>2.5075562109207319E-2</v>
      </c>
      <c r="AO133" s="3">
        <f t="shared" si="373"/>
        <v>3.1656159753297948E-2</v>
      </c>
      <c r="AP133" s="3">
        <f t="shared" si="373"/>
        <v>2.769902071295326E-2</v>
      </c>
      <c r="AQ133" s="3">
        <f t="shared" si="373"/>
        <v>5.1564548526555336E-2</v>
      </c>
      <c r="AR133" s="3">
        <f t="shared" si="373"/>
        <v>3.0596951131751416E-2</v>
      </c>
      <c r="AS133" s="10">
        <f t="shared" si="373"/>
        <v>8.3993216027110629E-2</v>
      </c>
      <c r="AU133" s="5" t="s">
        <v>49</v>
      </c>
      <c r="AV133" s="3">
        <f>AV76/$E$21</f>
        <v>7.0709449514277318E-3</v>
      </c>
      <c r="AW133" s="3">
        <f t="shared" ref="AW133:BB133" si="374">AW76/$E$21</f>
        <v>7.5059505497309482E-3</v>
      </c>
      <c r="AX133" s="3">
        <f t="shared" si="374"/>
        <v>9.4757425045076549E-3</v>
      </c>
      <c r="AY133" s="3">
        <f t="shared" si="374"/>
        <v>8.2912390494751988E-3</v>
      </c>
      <c r="AZ133" s="3">
        <f t="shared" si="374"/>
        <v>1.5434986050319137E-2</v>
      </c>
      <c r="BA133" s="3">
        <f t="shared" si="374"/>
        <v>9.1586861011236712E-3</v>
      </c>
      <c r="BB133" s="10">
        <f t="shared" si="374"/>
        <v>2.514196584174961E-2</v>
      </c>
      <c r="BD133" s="5" t="s">
        <v>49</v>
      </c>
      <c r="BE133" s="3">
        <f>BE76/$E$21</f>
        <v>9.8815130997939368E-3</v>
      </c>
      <c r="BF133" s="3">
        <f t="shared" ref="BF133:BK133" si="375">BF76/$E$21</f>
        <v>1.0489425273859014E-2</v>
      </c>
      <c r="BG133" s="3">
        <f t="shared" si="375"/>
        <v>1.3242172627812684E-2</v>
      </c>
      <c r="BH133" s="3">
        <f t="shared" si="375"/>
        <v>1.1586851240352152E-2</v>
      </c>
      <c r="BI133" s="3">
        <f t="shared" si="375"/>
        <v>2.1570103840303397E-2</v>
      </c>
      <c r="BJ133" s="3">
        <f t="shared" si="375"/>
        <v>1.2799092243941247E-2</v>
      </c>
      <c r="BK133" s="10">
        <f t="shared" si="375"/>
        <v>3.5135426244501659E-2</v>
      </c>
      <c r="BM133" s="5" t="s">
        <v>49</v>
      </c>
      <c r="BN133" s="3">
        <f>BN76/$E$21</f>
        <v>1.6952458051221669E-2</v>
      </c>
      <c r="BO133" s="3">
        <f t="shared" ref="BO133:BT133" si="376">BO76/$E$21</f>
        <v>1.7995375823589965E-2</v>
      </c>
      <c r="BP133" s="3">
        <f t="shared" si="376"/>
        <v>2.2717915132320344E-2</v>
      </c>
      <c r="BQ133" s="3">
        <f t="shared" si="376"/>
        <v>1.9878090289827351E-2</v>
      </c>
      <c r="BR133" s="3">
        <f t="shared" si="376"/>
        <v>3.7005089890622539E-2</v>
      </c>
      <c r="BS133" s="3">
        <f t="shared" si="376"/>
        <v>2.1957778345064922E-2</v>
      </c>
      <c r="BT133" s="10">
        <f t="shared" si="376"/>
        <v>6.0277392086251283E-2</v>
      </c>
    </row>
    <row r="134" spans="2:72" x14ac:dyDescent="0.25">
      <c r="B134" s="5" t="s">
        <v>50</v>
      </c>
      <c r="C134" s="3">
        <f t="shared" ref="C134:I138" si="377">C77/$E$21</f>
        <v>0.47654989696791294</v>
      </c>
      <c r="D134" s="3">
        <f t="shared" si="377"/>
        <v>0.50586731839827004</v>
      </c>
      <c r="E134" s="3">
        <f t="shared" si="377"/>
        <v>0.63862243946699304</v>
      </c>
      <c r="F134" s="3">
        <f t="shared" si="377"/>
        <v>0.55879223242516363</v>
      </c>
      <c r="G134" s="3">
        <f t="shared" si="377"/>
        <v>1.0402486601872871</v>
      </c>
      <c r="H134" s="3">
        <f t="shared" si="377"/>
        <v>0.6172542634447562</v>
      </c>
      <c r="I134" s="10">
        <f t="shared" si="377"/>
        <v>1.6944554530915046</v>
      </c>
      <c r="K134" s="5" t="s">
        <v>50</v>
      </c>
      <c r="L134" s="3">
        <f t="shared" ref="L134:R134" si="378">L77/$E$21</f>
        <v>0.2535001471886959</v>
      </c>
      <c r="M134" s="3">
        <f t="shared" si="378"/>
        <v>0.26909551442112017</v>
      </c>
      <c r="N134" s="3">
        <f t="shared" si="378"/>
        <v>0.33971444214536717</v>
      </c>
      <c r="O134" s="3">
        <f t="shared" si="378"/>
        <v>0.2972488590784792</v>
      </c>
      <c r="P134" s="3">
        <f t="shared" si="378"/>
        <v>0.55335902944928472</v>
      </c>
      <c r="Q134" s="3">
        <f t="shared" si="378"/>
        <v>0.32834766649132541</v>
      </c>
      <c r="R134" s="10">
        <f t="shared" si="378"/>
        <v>0.90136354974871991</v>
      </c>
      <c r="T134" s="5" t="s">
        <v>50</v>
      </c>
      <c r="U134" s="3">
        <f t="shared" ref="U134:AA134" si="379">U77/$E$21</f>
        <v>2.1460111863408893E-2</v>
      </c>
      <c r="V134" s="3">
        <f t="shared" si="379"/>
        <v>2.2780341177160116E-2</v>
      </c>
      <c r="W134" s="3">
        <f t="shared" si="379"/>
        <v>2.8758602355479102E-2</v>
      </c>
      <c r="X134" s="3">
        <f t="shared" si="379"/>
        <v>2.5163668888706994E-2</v>
      </c>
      <c r="Y134" s="3">
        <f t="shared" si="379"/>
        <v>4.6844732850468987E-2</v>
      </c>
      <c r="Z134" s="3">
        <f t="shared" si="379"/>
        <v>2.7796345410987324E-2</v>
      </c>
      <c r="AA134" s="10">
        <f t="shared" si="379"/>
        <v>7.6305133632953645E-2</v>
      </c>
      <c r="AC134" s="5" t="s">
        <v>50</v>
      </c>
      <c r="AD134" s="3">
        <f t="shared" ref="AD134:AJ134" si="380">AD77/$E$21</f>
        <v>2.5784515749190471E-2</v>
      </c>
      <c r="AE134" s="3">
        <f t="shared" si="380"/>
        <v>2.737078304125453E-2</v>
      </c>
      <c r="AF134" s="3">
        <f t="shared" si="380"/>
        <v>3.4553717151116804E-2</v>
      </c>
      <c r="AG134" s="3">
        <f t="shared" si="380"/>
        <v>3.0234372537199534E-2</v>
      </c>
      <c r="AH134" s="3">
        <f t="shared" si="380"/>
        <v>5.6284364202641692E-2</v>
      </c>
      <c r="AI134" s="3">
        <f t="shared" si="380"/>
        <v>3.3397556852515504E-2</v>
      </c>
      <c r="AJ134" s="10">
        <f t="shared" si="380"/>
        <v>9.1681298421267626E-2</v>
      </c>
      <c r="AK134" s="3"/>
      <c r="AL134" s="5" t="s">
        <v>50</v>
      </c>
      <c r="AM134" s="3">
        <f t="shared" ref="AM134:AS134" si="381">AM77/$E$21</f>
        <v>4.7244627612599358E-2</v>
      </c>
      <c r="AN134" s="3">
        <f t="shared" si="381"/>
        <v>5.0151124218414639E-2</v>
      </c>
      <c r="AO134" s="3">
        <f t="shared" si="381"/>
        <v>6.3312319506595896E-2</v>
      </c>
      <c r="AP134" s="3">
        <f t="shared" si="381"/>
        <v>5.539804142590652E-2</v>
      </c>
      <c r="AQ134" s="3">
        <f t="shared" si="381"/>
        <v>0.10312909705311067</v>
      </c>
      <c r="AR134" s="3">
        <f t="shared" si="381"/>
        <v>6.1193902263502832E-2</v>
      </c>
      <c r="AS134" s="10">
        <f t="shared" si="381"/>
        <v>0.16798643205422126</v>
      </c>
      <c r="AU134" s="5" t="s">
        <v>50</v>
      </c>
      <c r="AV134" s="3">
        <f t="shared" ref="AV134:BB134" si="382">AV77/$E$21</f>
        <v>1.4141889902855464E-2</v>
      </c>
      <c r="AW134" s="3">
        <f t="shared" si="382"/>
        <v>1.5011901099461896E-2</v>
      </c>
      <c r="AX134" s="3">
        <f t="shared" si="382"/>
        <v>1.895148500901531E-2</v>
      </c>
      <c r="AY134" s="3">
        <f t="shared" si="382"/>
        <v>1.6582478098950398E-2</v>
      </c>
      <c r="AZ134" s="3">
        <f t="shared" si="382"/>
        <v>3.0869972100638274E-2</v>
      </c>
      <c r="BA134" s="3">
        <f t="shared" si="382"/>
        <v>1.8317372202247342E-2</v>
      </c>
      <c r="BB134" s="10">
        <f t="shared" si="382"/>
        <v>5.0283931683499219E-2</v>
      </c>
      <c r="BD134" s="5" t="s">
        <v>50</v>
      </c>
      <c r="BE134" s="3">
        <f t="shared" ref="BE134:BK134" si="383">BE77/$E$21</f>
        <v>1.9763026199587874E-2</v>
      </c>
      <c r="BF134" s="3">
        <f t="shared" si="383"/>
        <v>2.0978850547718027E-2</v>
      </c>
      <c r="BG134" s="3">
        <f t="shared" si="383"/>
        <v>2.6484345255625368E-2</v>
      </c>
      <c r="BH134" s="3">
        <f t="shared" si="383"/>
        <v>2.3173702480704304E-2</v>
      </c>
      <c r="BI134" s="3">
        <f t="shared" si="383"/>
        <v>4.3140207680606793E-2</v>
      </c>
      <c r="BJ134" s="3">
        <f t="shared" si="383"/>
        <v>2.5598184487882494E-2</v>
      </c>
      <c r="BK134" s="10">
        <f t="shared" si="383"/>
        <v>7.0270852489003319E-2</v>
      </c>
      <c r="BM134" s="5" t="s">
        <v>50</v>
      </c>
      <c r="BN134" s="3">
        <f t="shared" ref="BN134:BT134" si="384">BN77/$E$21</f>
        <v>3.3904916102443339E-2</v>
      </c>
      <c r="BO134" s="3">
        <f t="shared" si="384"/>
        <v>3.5990751647179929E-2</v>
      </c>
      <c r="BP134" s="3">
        <f t="shared" si="384"/>
        <v>4.5435830264640688E-2</v>
      </c>
      <c r="BQ134" s="3">
        <f t="shared" si="384"/>
        <v>3.9756180579654701E-2</v>
      </c>
      <c r="BR134" s="3">
        <f t="shared" si="384"/>
        <v>7.4010179781245078E-2</v>
      </c>
      <c r="BS134" s="3">
        <f t="shared" si="384"/>
        <v>4.3915556690129844E-2</v>
      </c>
      <c r="BT134" s="10">
        <f t="shared" si="384"/>
        <v>0.12055478417250257</v>
      </c>
    </row>
    <row r="135" spans="2:72" x14ac:dyDescent="0.25">
      <c r="B135" s="5" t="s">
        <v>51</v>
      </c>
      <c r="C135" s="3">
        <f t="shared" si="377"/>
        <v>1.1913747424197823</v>
      </c>
      <c r="D135" s="3">
        <f t="shared" si="377"/>
        <v>1.264668295995675</v>
      </c>
      <c r="E135" s="3">
        <f t="shared" si="377"/>
        <v>1.5965560986674825</v>
      </c>
      <c r="F135" s="3">
        <f t="shared" si="377"/>
        <v>1.396980581062909</v>
      </c>
      <c r="G135" s="3">
        <f t="shared" si="377"/>
        <v>2.6006216504682174</v>
      </c>
      <c r="H135" s="3">
        <f t="shared" si="377"/>
        <v>1.5431356586118905</v>
      </c>
      <c r="I135" s="10">
        <f t="shared" si="377"/>
        <v>4.2361386327287613</v>
      </c>
      <c r="K135" s="5" t="s">
        <v>51</v>
      </c>
      <c r="L135" s="3">
        <f t="shared" ref="L135:R135" si="385">L78/$E$21</f>
        <v>0.63375036797173967</v>
      </c>
      <c r="M135" s="3">
        <f t="shared" si="385"/>
        <v>0.67273878605280035</v>
      </c>
      <c r="N135" s="3">
        <f t="shared" si="385"/>
        <v>0.84928610536341798</v>
      </c>
      <c r="O135" s="3">
        <f t="shared" si="385"/>
        <v>0.743122147696198</v>
      </c>
      <c r="P135" s="3">
        <f t="shared" si="385"/>
        <v>1.3833975736232118</v>
      </c>
      <c r="Q135" s="3">
        <f t="shared" si="385"/>
        <v>0.82086916622831352</v>
      </c>
      <c r="R135" s="10">
        <f t="shared" si="385"/>
        <v>2.2534088743718002</v>
      </c>
      <c r="T135" s="5" t="s">
        <v>51</v>
      </c>
      <c r="U135" s="3">
        <f t="shared" ref="U135:AA135" si="386">U78/$E$21</f>
        <v>5.3650279658522232E-2</v>
      </c>
      <c r="V135" s="3">
        <f t="shared" si="386"/>
        <v>5.6950852942900296E-2</v>
      </c>
      <c r="W135" s="3">
        <f t="shared" si="386"/>
        <v>7.1896505888697754E-2</v>
      </c>
      <c r="X135" s="3">
        <f t="shared" si="386"/>
        <v>6.2909172221767479E-2</v>
      </c>
      <c r="Y135" s="3">
        <f t="shared" si="386"/>
        <v>0.11711183212617246</v>
      </c>
      <c r="Z135" s="3">
        <f t="shared" si="386"/>
        <v>6.9490863527468319E-2</v>
      </c>
      <c r="AA135" s="10">
        <f t="shared" si="386"/>
        <v>0.19076283408238412</v>
      </c>
      <c r="AC135" s="5" t="s">
        <v>51</v>
      </c>
      <c r="AD135" s="3">
        <f t="shared" ref="AD135:AJ135" si="387">AD78/$E$21</f>
        <v>6.4461289372976169E-2</v>
      </c>
      <c r="AE135" s="3">
        <f t="shared" si="387"/>
        <v>6.8426957603136315E-2</v>
      </c>
      <c r="AF135" s="3">
        <f t="shared" si="387"/>
        <v>8.6384292877792007E-2</v>
      </c>
      <c r="AG135" s="3">
        <f t="shared" si="387"/>
        <v>7.5585931342998819E-2</v>
      </c>
      <c r="AH135" s="3">
        <f t="shared" si="387"/>
        <v>0.14071091050660423</v>
      </c>
      <c r="AI135" s="3">
        <f t="shared" si="387"/>
        <v>8.3493892131288744E-2</v>
      </c>
      <c r="AJ135" s="10">
        <f t="shared" si="387"/>
        <v>0.22920324605316908</v>
      </c>
      <c r="AK135" s="3"/>
      <c r="AL135" s="5" t="s">
        <v>51</v>
      </c>
      <c r="AM135" s="3">
        <f t="shared" ref="AM135:AS135" si="388">AM78/$E$21</f>
        <v>0.11811156903149839</v>
      </c>
      <c r="AN135" s="3">
        <f t="shared" si="388"/>
        <v>0.12537781054603661</v>
      </c>
      <c r="AO135" s="3">
        <f t="shared" si="388"/>
        <v>0.15828079876648976</v>
      </c>
      <c r="AP135" s="3">
        <f t="shared" si="388"/>
        <v>0.1384951035647663</v>
      </c>
      <c r="AQ135" s="3">
        <f t="shared" si="388"/>
        <v>0.25782274263277666</v>
      </c>
      <c r="AR135" s="3">
        <f t="shared" si="388"/>
        <v>0.15298475565875705</v>
      </c>
      <c r="AS135" s="10">
        <f t="shared" si="388"/>
        <v>0.41996608013555314</v>
      </c>
      <c r="AU135" s="5" t="s">
        <v>51</v>
      </c>
      <c r="AV135" s="3">
        <f t="shared" ref="AV135:BB135" si="389">AV78/$E$21</f>
        <v>3.5354724757138654E-2</v>
      </c>
      <c r="AW135" s="3">
        <f t="shared" si="389"/>
        <v>3.7529752748654735E-2</v>
      </c>
      <c r="AX135" s="3">
        <f t="shared" si="389"/>
        <v>4.7378712522538273E-2</v>
      </c>
      <c r="AY135" s="3">
        <f t="shared" si="389"/>
        <v>4.1456195247375989E-2</v>
      </c>
      <c r="AZ135" s="3">
        <f t="shared" si="389"/>
        <v>7.7174930251595691E-2</v>
      </c>
      <c r="BA135" s="3">
        <f t="shared" si="389"/>
        <v>4.5793430505618356E-2</v>
      </c>
      <c r="BB135" s="10">
        <f t="shared" si="389"/>
        <v>0.12570982920874804</v>
      </c>
      <c r="BD135" s="5" t="s">
        <v>51</v>
      </c>
      <c r="BE135" s="3">
        <f t="shared" ref="BE135:BK135" si="390">BE78/$E$21</f>
        <v>4.9407565498969679E-2</v>
      </c>
      <c r="BF135" s="3">
        <f t="shared" si="390"/>
        <v>5.244712636929507E-2</v>
      </c>
      <c r="BG135" s="3">
        <f t="shared" si="390"/>
        <v>6.6210863139063422E-2</v>
      </c>
      <c r="BH135" s="3">
        <f t="shared" si="390"/>
        <v>5.7934256201760764E-2</v>
      </c>
      <c r="BI135" s="3">
        <f t="shared" si="390"/>
        <v>0.10785051920151699</v>
      </c>
      <c r="BJ135" s="3">
        <f t="shared" si="390"/>
        <v>6.3995461219706243E-2</v>
      </c>
      <c r="BK135" s="10">
        <f t="shared" si="390"/>
        <v>0.1756771312225083</v>
      </c>
      <c r="BM135" s="5" t="s">
        <v>51</v>
      </c>
      <c r="BN135" s="3">
        <f t="shared" ref="BN135:BT135" si="391">BN78/$E$21</f>
        <v>8.4762290256108333E-2</v>
      </c>
      <c r="BO135" s="3">
        <f t="shared" si="391"/>
        <v>8.9976879117949812E-2</v>
      </c>
      <c r="BP135" s="3">
        <f t="shared" si="391"/>
        <v>0.1135895756616017</v>
      </c>
      <c r="BQ135" s="3">
        <f t="shared" si="391"/>
        <v>9.9390451449136746E-2</v>
      </c>
      <c r="BR135" s="3">
        <f t="shared" si="391"/>
        <v>0.18502544945311267</v>
      </c>
      <c r="BS135" s="3">
        <f t="shared" si="391"/>
        <v>0.10978889172532459</v>
      </c>
      <c r="BT135" s="10">
        <f t="shared" si="391"/>
        <v>0.30138696043125635</v>
      </c>
    </row>
    <row r="136" spans="2:72" x14ac:dyDescent="0.25">
      <c r="B136" s="5" t="s">
        <v>52</v>
      </c>
      <c r="C136" s="3">
        <f t="shared" si="377"/>
        <v>2.3827494848395645</v>
      </c>
      <c r="D136" s="3">
        <f t="shared" si="377"/>
        <v>2.52933659199135</v>
      </c>
      <c r="E136" s="3">
        <f t="shared" si="377"/>
        <v>3.193112197334965</v>
      </c>
      <c r="F136" s="3">
        <f t="shared" si="377"/>
        <v>2.793961162125818</v>
      </c>
      <c r="G136" s="3">
        <f t="shared" si="377"/>
        <v>5.2012433009364347</v>
      </c>
      <c r="H136" s="3">
        <f t="shared" si="377"/>
        <v>3.086271317223781</v>
      </c>
      <c r="I136" s="10">
        <f t="shared" si="377"/>
        <v>8.4722772654575227</v>
      </c>
      <c r="K136" s="5" t="s">
        <v>52</v>
      </c>
      <c r="L136" s="3">
        <f t="shared" ref="L136:R136" si="392">L79/$E$21</f>
        <v>1.2675007359434793</v>
      </c>
      <c r="M136" s="3">
        <f t="shared" si="392"/>
        <v>1.3454775721056007</v>
      </c>
      <c r="N136" s="3">
        <f t="shared" si="392"/>
        <v>1.698572210726836</v>
      </c>
      <c r="O136" s="3">
        <f t="shared" si="392"/>
        <v>1.486244295392396</v>
      </c>
      <c r="P136" s="3">
        <f t="shared" si="392"/>
        <v>2.7667951472464236</v>
      </c>
      <c r="Q136" s="3">
        <f t="shared" si="392"/>
        <v>1.641738332456627</v>
      </c>
      <c r="R136" s="10">
        <f t="shared" si="392"/>
        <v>4.5068177487436003</v>
      </c>
      <c r="T136" s="5" t="s">
        <v>52</v>
      </c>
      <c r="U136" s="3">
        <f t="shared" ref="U136:AA136" si="393">U79/$E$21</f>
        <v>0.10730055931704446</v>
      </c>
      <c r="V136" s="3">
        <f t="shared" si="393"/>
        <v>0.11390170588580059</v>
      </c>
      <c r="W136" s="3">
        <f t="shared" si="393"/>
        <v>0.14379301177739551</v>
      </c>
      <c r="X136" s="3">
        <f t="shared" si="393"/>
        <v>0.12581834444353496</v>
      </c>
      <c r="Y136" s="3">
        <f t="shared" si="393"/>
        <v>0.23422366425234492</v>
      </c>
      <c r="Z136" s="3">
        <f t="shared" si="393"/>
        <v>0.13898172705493664</v>
      </c>
      <c r="AA136" s="10">
        <f t="shared" si="393"/>
        <v>0.38152566816476824</v>
      </c>
      <c r="AC136" s="5" t="s">
        <v>52</v>
      </c>
      <c r="AD136" s="3">
        <f t="shared" ref="AD136:AJ136" si="394">AD79/$E$21</f>
        <v>0.12892257874595234</v>
      </c>
      <c r="AE136" s="3">
        <f t="shared" si="394"/>
        <v>0.13685391520627263</v>
      </c>
      <c r="AF136" s="3">
        <f t="shared" si="394"/>
        <v>0.17276858575558401</v>
      </c>
      <c r="AG136" s="3">
        <f t="shared" si="394"/>
        <v>0.15117186268599764</v>
      </c>
      <c r="AH136" s="3">
        <f t="shared" si="394"/>
        <v>0.28142182101320845</v>
      </c>
      <c r="AI136" s="3">
        <f t="shared" si="394"/>
        <v>0.16698778426257749</v>
      </c>
      <c r="AJ136" s="10">
        <f t="shared" si="394"/>
        <v>0.45840649210633816</v>
      </c>
      <c r="AK136" s="3"/>
      <c r="AL136" s="5" t="s">
        <v>52</v>
      </c>
      <c r="AM136" s="3">
        <f t="shared" ref="AM136:AS136" si="395">AM79/$E$21</f>
        <v>0.23622313806299677</v>
      </c>
      <c r="AN136" s="3">
        <f t="shared" si="395"/>
        <v>0.25075562109207322</v>
      </c>
      <c r="AO136" s="3">
        <f t="shared" si="395"/>
        <v>0.31656159753297952</v>
      </c>
      <c r="AP136" s="3">
        <f t="shared" si="395"/>
        <v>0.2769902071295326</v>
      </c>
      <c r="AQ136" s="3">
        <f t="shared" si="395"/>
        <v>0.51564548526555332</v>
      </c>
      <c r="AR136" s="3">
        <f t="shared" si="395"/>
        <v>0.3059695113175141</v>
      </c>
      <c r="AS136" s="10">
        <f t="shared" si="395"/>
        <v>0.83993216027110629</v>
      </c>
      <c r="AU136" s="5" t="s">
        <v>52</v>
      </c>
      <c r="AV136" s="3">
        <f t="shared" ref="AV136:BB136" si="396">AV79/$E$21</f>
        <v>7.0709449514277309E-2</v>
      </c>
      <c r="AW136" s="3">
        <f t="shared" si="396"/>
        <v>7.505950549730947E-2</v>
      </c>
      <c r="AX136" s="3">
        <f t="shared" si="396"/>
        <v>9.4757425045076546E-2</v>
      </c>
      <c r="AY136" s="3">
        <f t="shared" si="396"/>
        <v>8.2912390494751978E-2</v>
      </c>
      <c r="AZ136" s="3">
        <f t="shared" si="396"/>
        <v>0.15434986050319138</v>
      </c>
      <c r="BA136" s="3">
        <f t="shared" si="396"/>
        <v>9.1586861011236712E-2</v>
      </c>
      <c r="BB136" s="10">
        <f t="shared" si="396"/>
        <v>0.25141965841749608</v>
      </c>
      <c r="BD136" s="5" t="s">
        <v>52</v>
      </c>
      <c r="BE136" s="3">
        <f t="shared" ref="BE136:BK136" si="397">BE79/$E$21</f>
        <v>9.8815130997939357E-2</v>
      </c>
      <c r="BF136" s="3">
        <f t="shared" si="397"/>
        <v>0.10489425273859014</v>
      </c>
      <c r="BG136" s="3">
        <f t="shared" si="397"/>
        <v>0.13242172627812684</v>
      </c>
      <c r="BH136" s="3">
        <f t="shared" si="397"/>
        <v>0.11586851240352153</v>
      </c>
      <c r="BI136" s="3">
        <f t="shared" si="397"/>
        <v>0.21570103840303398</v>
      </c>
      <c r="BJ136" s="3">
        <f t="shared" si="397"/>
        <v>0.12799092243941249</v>
      </c>
      <c r="BK136" s="10">
        <f t="shared" si="397"/>
        <v>0.35135426244501661</v>
      </c>
      <c r="BM136" s="5" t="s">
        <v>52</v>
      </c>
      <c r="BN136" s="3">
        <f t="shared" ref="BN136:BT136" si="398">BN79/$E$21</f>
        <v>0.16952458051221667</v>
      </c>
      <c r="BO136" s="3">
        <f t="shared" si="398"/>
        <v>0.17995375823589962</v>
      </c>
      <c r="BP136" s="3">
        <f t="shared" si="398"/>
        <v>0.2271791513232034</v>
      </c>
      <c r="BQ136" s="3">
        <f t="shared" si="398"/>
        <v>0.19878090289827349</v>
      </c>
      <c r="BR136" s="3">
        <f t="shared" si="398"/>
        <v>0.37005089890622533</v>
      </c>
      <c r="BS136" s="3">
        <f t="shared" si="398"/>
        <v>0.21957778345064918</v>
      </c>
      <c r="BT136" s="10">
        <f t="shared" si="398"/>
        <v>0.60277392086251269</v>
      </c>
    </row>
    <row r="137" spans="2:72" x14ac:dyDescent="0.25">
      <c r="B137" s="5" t="s">
        <v>53</v>
      </c>
      <c r="C137" s="3">
        <f t="shared" si="377"/>
        <v>3.5741242272593472</v>
      </c>
      <c r="D137" s="3">
        <f t="shared" si="377"/>
        <v>3.794004887987025</v>
      </c>
      <c r="E137" s="3">
        <f t="shared" si="377"/>
        <v>4.7896682960024481</v>
      </c>
      <c r="F137" s="3">
        <f t="shared" si="377"/>
        <v>4.190941743188727</v>
      </c>
      <c r="G137" s="3">
        <f t="shared" si="377"/>
        <v>7.8018649514046521</v>
      </c>
      <c r="H137" s="3">
        <f t="shared" si="377"/>
        <v>4.6294069758356713</v>
      </c>
      <c r="I137" s="10">
        <f t="shared" si="377"/>
        <v>12.708415898186285</v>
      </c>
      <c r="K137" s="5" t="s">
        <v>53</v>
      </c>
      <c r="L137" s="3">
        <f t="shared" ref="L137:R137" si="399">L80/$E$21</f>
        <v>1.9012511039152191</v>
      </c>
      <c r="M137" s="3">
        <f t="shared" si="399"/>
        <v>2.0182163581584009</v>
      </c>
      <c r="N137" s="3">
        <f t="shared" si="399"/>
        <v>2.5478583160902541</v>
      </c>
      <c r="O137" s="3">
        <f t="shared" si="399"/>
        <v>2.229366443088594</v>
      </c>
      <c r="P137" s="3">
        <f t="shared" si="399"/>
        <v>4.1501927208696356</v>
      </c>
      <c r="Q137" s="3">
        <f t="shared" si="399"/>
        <v>2.4626074986849402</v>
      </c>
      <c r="R137" s="10">
        <f t="shared" si="399"/>
        <v>6.7602266231153996</v>
      </c>
      <c r="T137" s="5" t="s">
        <v>53</v>
      </c>
      <c r="U137" s="3">
        <f t="shared" ref="U137:AA137" si="400">U80/$E$21</f>
        <v>0.1609508389755667</v>
      </c>
      <c r="V137" s="3">
        <f t="shared" si="400"/>
        <v>0.17085255882870087</v>
      </c>
      <c r="W137" s="3">
        <f t="shared" si="400"/>
        <v>0.21568951766609323</v>
      </c>
      <c r="X137" s="3">
        <f t="shared" si="400"/>
        <v>0.18872751666530244</v>
      </c>
      <c r="Y137" s="3">
        <f t="shared" si="400"/>
        <v>0.35133549637851741</v>
      </c>
      <c r="Z137" s="3">
        <f t="shared" si="400"/>
        <v>0.20847259058240492</v>
      </c>
      <c r="AA137" s="10">
        <f t="shared" si="400"/>
        <v>0.57228850224715222</v>
      </c>
      <c r="AC137" s="5" t="s">
        <v>53</v>
      </c>
      <c r="AD137" s="3">
        <f t="shared" ref="AD137:AJ137" si="401">AD80/$E$21</f>
        <v>0.19338386811892849</v>
      </c>
      <c r="AE137" s="3">
        <f t="shared" si="401"/>
        <v>0.20528087280940893</v>
      </c>
      <c r="AF137" s="3">
        <f t="shared" si="401"/>
        <v>0.25915287863337599</v>
      </c>
      <c r="AG137" s="3">
        <f t="shared" si="401"/>
        <v>0.22675779402899646</v>
      </c>
      <c r="AH137" s="3">
        <f t="shared" si="401"/>
        <v>0.42213273151981262</v>
      </c>
      <c r="AI137" s="3">
        <f t="shared" si="401"/>
        <v>0.25048167639386626</v>
      </c>
      <c r="AJ137" s="10">
        <f t="shared" si="401"/>
        <v>0.68760973815950721</v>
      </c>
      <c r="AK137" s="3"/>
      <c r="AL137" s="5" t="s">
        <v>53</v>
      </c>
      <c r="AM137" s="3">
        <f t="shared" ref="AM137:AS137" si="402">AM80/$E$21</f>
        <v>0.35433470709449522</v>
      </c>
      <c r="AN137" s="3">
        <f t="shared" si="402"/>
        <v>0.37613343163810986</v>
      </c>
      <c r="AO137" s="3">
        <f t="shared" si="402"/>
        <v>0.47484239629946923</v>
      </c>
      <c r="AP137" s="3">
        <f t="shared" si="402"/>
        <v>0.41548531069429895</v>
      </c>
      <c r="AQ137" s="3">
        <f t="shared" si="402"/>
        <v>0.77346822789833003</v>
      </c>
      <c r="AR137" s="3">
        <f t="shared" si="402"/>
        <v>0.45895426697627129</v>
      </c>
      <c r="AS137" s="10">
        <f t="shared" si="402"/>
        <v>1.2598982404066597</v>
      </c>
      <c r="AU137" s="5" t="s">
        <v>53</v>
      </c>
      <c r="AV137" s="3">
        <f t="shared" ref="AV137:BB137" si="403">AV80/$E$21</f>
        <v>0.10606417427141598</v>
      </c>
      <c r="AW137" s="3">
        <f t="shared" si="403"/>
        <v>0.11258925824596422</v>
      </c>
      <c r="AX137" s="3">
        <f t="shared" si="403"/>
        <v>0.14213613756761484</v>
      </c>
      <c r="AY137" s="3">
        <f t="shared" si="403"/>
        <v>0.12436858574212799</v>
      </c>
      <c r="AZ137" s="3">
        <f t="shared" si="403"/>
        <v>0.2315247907547871</v>
      </c>
      <c r="BA137" s="3">
        <f t="shared" si="403"/>
        <v>0.13738029151685507</v>
      </c>
      <c r="BB137" s="10">
        <f t="shared" si="403"/>
        <v>0.37712948762624415</v>
      </c>
      <c r="BD137" s="5" t="s">
        <v>53</v>
      </c>
      <c r="BE137" s="3">
        <f t="shared" ref="BE137:BK137" si="404">BE80/$E$21</f>
        <v>0.14822269649690906</v>
      </c>
      <c r="BF137" s="3">
        <f t="shared" si="404"/>
        <v>0.15734137910788523</v>
      </c>
      <c r="BG137" s="3">
        <f t="shared" si="404"/>
        <v>0.19863258941719028</v>
      </c>
      <c r="BH137" s="3">
        <f t="shared" si="404"/>
        <v>0.17380276860528227</v>
      </c>
      <c r="BI137" s="3">
        <f t="shared" si="404"/>
        <v>0.32355155760455095</v>
      </c>
      <c r="BJ137" s="3">
        <f t="shared" si="404"/>
        <v>0.19198638365911874</v>
      </c>
      <c r="BK137" s="10">
        <f t="shared" si="404"/>
        <v>0.52703139366752494</v>
      </c>
      <c r="BM137" s="5" t="s">
        <v>53</v>
      </c>
      <c r="BN137" s="3">
        <f t="shared" ref="BN137:BT137" si="405">BN80/$E$21</f>
        <v>0.25428687076832501</v>
      </c>
      <c r="BO137" s="3">
        <f t="shared" si="405"/>
        <v>0.26993063735384942</v>
      </c>
      <c r="BP137" s="3">
        <f t="shared" si="405"/>
        <v>0.34076872698480504</v>
      </c>
      <c r="BQ137" s="3">
        <f t="shared" si="405"/>
        <v>0.29817135434741021</v>
      </c>
      <c r="BR137" s="3">
        <f t="shared" si="405"/>
        <v>0.55507634835933795</v>
      </c>
      <c r="BS137" s="3">
        <f t="shared" si="405"/>
        <v>0.32936667517597373</v>
      </c>
      <c r="BT137" s="10">
        <f t="shared" si="405"/>
        <v>0.90416088129376904</v>
      </c>
    </row>
    <row r="138" spans="2:72" ht="15.75" thickBot="1" x14ac:dyDescent="0.3">
      <c r="B138" s="6" t="s">
        <v>54</v>
      </c>
      <c r="C138" s="11">
        <f t="shared" si="377"/>
        <v>4.765498969679129</v>
      </c>
      <c r="D138" s="11">
        <f t="shared" si="377"/>
        <v>5.0586731839826999</v>
      </c>
      <c r="E138" s="11">
        <f t="shared" si="377"/>
        <v>6.38622439466993</v>
      </c>
      <c r="F138" s="11">
        <f t="shared" si="377"/>
        <v>5.587922324251636</v>
      </c>
      <c r="G138" s="11">
        <f t="shared" si="377"/>
        <v>10.402486601872869</v>
      </c>
      <c r="H138" s="11">
        <f t="shared" si="377"/>
        <v>6.172542634447562</v>
      </c>
      <c r="I138" s="12">
        <f t="shared" si="377"/>
        <v>16.944554530915045</v>
      </c>
      <c r="K138" s="6" t="s">
        <v>54</v>
      </c>
      <c r="L138" s="11">
        <f t="shared" ref="L138:R138" si="406">L81/$E$21</f>
        <v>2.5350014718869587</v>
      </c>
      <c r="M138" s="11">
        <f t="shared" si="406"/>
        <v>2.6909551442112014</v>
      </c>
      <c r="N138" s="11">
        <f t="shared" si="406"/>
        <v>3.3971444214536719</v>
      </c>
      <c r="O138" s="11">
        <f t="shared" si="406"/>
        <v>2.972488590784792</v>
      </c>
      <c r="P138" s="11">
        <f t="shared" si="406"/>
        <v>5.5335902944928472</v>
      </c>
      <c r="Q138" s="11">
        <f t="shared" si="406"/>
        <v>3.2834766649132541</v>
      </c>
      <c r="R138" s="12">
        <f t="shared" si="406"/>
        <v>9.0136354974872006</v>
      </c>
      <c r="T138" s="6" t="s">
        <v>54</v>
      </c>
      <c r="U138" s="11">
        <f t="shared" ref="U138:AA138" si="407">U81/$E$21</f>
        <v>0.21460111863408893</v>
      </c>
      <c r="V138" s="11">
        <f t="shared" si="407"/>
        <v>0.22780341177160118</v>
      </c>
      <c r="W138" s="11">
        <f t="shared" si="407"/>
        <v>0.28758602355479101</v>
      </c>
      <c r="X138" s="11">
        <f t="shared" si="407"/>
        <v>0.25163668888706991</v>
      </c>
      <c r="Y138" s="11">
        <f t="shared" si="407"/>
        <v>0.46844732850468984</v>
      </c>
      <c r="Z138" s="11">
        <f t="shared" si="407"/>
        <v>0.27796345410987328</v>
      </c>
      <c r="AA138" s="12">
        <f t="shared" si="407"/>
        <v>0.76305133632953648</v>
      </c>
      <c r="AC138" s="6" t="s">
        <v>54</v>
      </c>
      <c r="AD138" s="11">
        <f t="shared" ref="AD138:AJ138" si="408">AD81/$E$21</f>
        <v>0.25784515749190468</v>
      </c>
      <c r="AE138" s="11">
        <f t="shared" si="408"/>
        <v>0.27370783041254526</v>
      </c>
      <c r="AF138" s="11">
        <f t="shared" si="408"/>
        <v>0.34553717151116803</v>
      </c>
      <c r="AG138" s="11">
        <f t="shared" si="408"/>
        <v>0.30234372537199528</v>
      </c>
      <c r="AH138" s="11">
        <f t="shared" si="408"/>
        <v>0.5628436420264169</v>
      </c>
      <c r="AI138" s="11">
        <f t="shared" si="408"/>
        <v>0.33397556852515498</v>
      </c>
      <c r="AJ138" s="12">
        <f t="shared" si="408"/>
        <v>0.91681298421267632</v>
      </c>
      <c r="AK138" s="3"/>
      <c r="AL138" s="6" t="s">
        <v>54</v>
      </c>
      <c r="AM138" s="11">
        <f t="shared" ref="AM138:AS138" si="409">AM81/$E$21</f>
        <v>0.47244627612599355</v>
      </c>
      <c r="AN138" s="11">
        <f t="shared" si="409"/>
        <v>0.50151124218414644</v>
      </c>
      <c r="AO138" s="11">
        <f t="shared" si="409"/>
        <v>0.63312319506595904</v>
      </c>
      <c r="AP138" s="11">
        <f t="shared" si="409"/>
        <v>0.55398041425906519</v>
      </c>
      <c r="AQ138" s="11">
        <f t="shared" si="409"/>
        <v>1.0312909705311066</v>
      </c>
      <c r="AR138" s="11">
        <f t="shared" si="409"/>
        <v>0.6119390226350282</v>
      </c>
      <c r="AS138" s="12">
        <f t="shared" si="409"/>
        <v>1.6798643205422126</v>
      </c>
      <c r="AU138" s="6" t="s">
        <v>54</v>
      </c>
      <c r="AV138" s="11">
        <f t="shared" ref="AV138:BB138" si="410">AV81/$E$21</f>
        <v>0.14141889902855462</v>
      </c>
      <c r="AW138" s="11">
        <f t="shared" si="410"/>
        <v>0.15011901099461894</v>
      </c>
      <c r="AX138" s="11">
        <f t="shared" si="410"/>
        <v>0.18951485009015309</v>
      </c>
      <c r="AY138" s="11">
        <f t="shared" si="410"/>
        <v>0.16582478098950396</v>
      </c>
      <c r="AZ138" s="11">
        <f t="shared" si="410"/>
        <v>0.30869972100638277</v>
      </c>
      <c r="BA138" s="11">
        <f t="shared" si="410"/>
        <v>0.18317372202247342</v>
      </c>
      <c r="BB138" s="12">
        <f t="shared" si="410"/>
        <v>0.50283931683499217</v>
      </c>
      <c r="BD138" s="6" t="s">
        <v>54</v>
      </c>
      <c r="BE138" s="11">
        <f t="shared" ref="BE138:BK138" si="411">BE81/$E$21</f>
        <v>0.19763026199587871</v>
      </c>
      <c r="BF138" s="11">
        <f t="shared" si="411"/>
        <v>0.20978850547718028</v>
      </c>
      <c r="BG138" s="11">
        <f t="shared" si="411"/>
        <v>0.26484345255625369</v>
      </c>
      <c r="BH138" s="11">
        <f t="shared" si="411"/>
        <v>0.23173702480704306</v>
      </c>
      <c r="BI138" s="11">
        <f t="shared" si="411"/>
        <v>0.43140207680606796</v>
      </c>
      <c r="BJ138" s="11">
        <f t="shared" si="411"/>
        <v>0.25598184487882497</v>
      </c>
      <c r="BK138" s="12">
        <f t="shared" si="411"/>
        <v>0.70270852489003321</v>
      </c>
      <c r="BM138" s="6" t="s">
        <v>54</v>
      </c>
      <c r="BN138" s="11">
        <f t="shared" ref="BN138:BT138" si="412">BN81/$E$21</f>
        <v>0.33904916102443333</v>
      </c>
      <c r="BO138" s="11">
        <f t="shared" si="412"/>
        <v>0.35990751647179925</v>
      </c>
      <c r="BP138" s="11">
        <f t="shared" si="412"/>
        <v>0.45435830264640681</v>
      </c>
      <c r="BQ138" s="11">
        <f t="shared" si="412"/>
        <v>0.39756180579654699</v>
      </c>
      <c r="BR138" s="11">
        <f t="shared" si="412"/>
        <v>0.74010179781245067</v>
      </c>
      <c r="BS138" s="11">
        <f t="shared" si="412"/>
        <v>0.43915556690129837</v>
      </c>
      <c r="BT138" s="12">
        <f t="shared" si="412"/>
        <v>1.2055478417250254</v>
      </c>
    </row>
    <row r="139" spans="2:72" ht="15.75" thickBot="1" x14ac:dyDescent="0.3">
      <c r="L139" s="3"/>
      <c r="M139" s="3"/>
      <c r="N139" s="3"/>
      <c r="O139" s="3"/>
      <c r="P139" s="3"/>
      <c r="Q139" s="3"/>
      <c r="R139" s="3"/>
      <c r="U139" s="3"/>
      <c r="V139" s="3"/>
      <c r="W139" s="3"/>
      <c r="X139" s="3"/>
      <c r="Y139" s="3"/>
      <c r="Z139" s="3"/>
      <c r="AA139" s="3"/>
      <c r="AD139" s="3"/>
      <c r="AE139" s="3"/>
      <c r="AF139" s="3"/>
      <c r="AG139" s="3"/>
      <c r="AH139" s="3"/>
      <c r="AI139" s="3"/>
      <c r="AJ139" s="3"/>
      <c r="AK139" s="3"/>
      <c r="AM139" s="3"/>
      <c r="AN139" s="3"/>
      <c r="AO139" s="3"/>
      <c r="AP139" s="3"/>
      <c r="AQ139" s="3"/>
      <c r="AR139" s="3"/>
      <c r="AS139" s="3"/>
      <c r="AV139" s="3"/>
      <c r="AW139" s="3"/>
      <c r="AX139" s="3"/>
      <c r="AY139" s="3"/>
      <c r="AZ139" s="3"/>
      <c r="BA139" s="3"/>
      <c r="BB139" s="3"/>
      <c r="BE139" s="3"/>
      <c r="BF139" s="3"/>
      <c r="BG139" s="3"/>
      <c r="BH139" s="3"/>
      <c r="BI139" s="3"/>
      <c r="BJ139" s="3"/>
      <c r="BK139" s="3"/>
      <c r="BN139" s="3"/>
      <c r="BO139" s="3"/>
      <c r="BP139" s="3"/>
      <c r="BQ139" s="3"/>
      <c r="BR139" s="3"/>
      <c r="BS139" s="3"/>
      <c r="BT139" s="3"/>
    </row>
    <row r="140" spans="2:72" ht="15.75" thickBot="1" x14ac:dyDescent="0.3">
      <c r="B140" s="34" t="s">
        <v>60</v>
      </c>
      <c r="C140" s="35"/>
      <c r="D140" s="35"/>
      <c r="E140" s="35"/>
      <c r="F140" s="35"/>
      <c r="G140" s="35"/>
      <c r="H140" s="35"/>
      <c r="I140" s="36"/>
      <c r="K140" s="49" t="s">
        <v>60</v>
      </c>
      <c r="L140" s="50"/>
      <c r="M140" s="50"/>
      <c r="N140" s="50"/>
      <c r="O140" s="50"/>
      <c r="P140" s="50"/>
      <c r="Q140" s="50"/>
      <c r="R140" s="51"/>
      <c r="T140" s="52" t="s">
        <v>60</v>
      </c>
      <c r="U140" s="53"/>
      <c r="V140" s="53"/>
      <c r="W140" s="53"/>
      <c r="X140" s="53"/>
      <c r="Y140" s="53"/>
      <c r="Z140" s="53"/>
      <c r="AA140" s="54"/>
      <c r="AC140" s="52" t="s">
        <v>60</v>
      </c>
      <c r="AD140" s="53"/>
      <c r="AE140" s="53"/>
      <c r="AF140" s="53"/>
      <c r="AG140" s="53"/>
      <c r="AH140" s="53"/>
      <c r="AI140" s="53"/>
      <c r="AJ140" s="54"/>
      <c r="AK140" s="3"/>
      <c r="AL140" s="52" t="s">
        <v>60</v>
      </c>
      <c r="AM140" s="53"/>
      <c r="AN140" s="53"/>
      <c r="AO140" s="53"/>
      <c r="AP140" s="53"/>
      <c r="AQ140" s="53"/>
      <c r="AR140" s="53"/>
      <c r="AS140" s="54"/>
      <c r="AU140" s="45" t="s">
        <v>60</v>
      </c>
      <c r="AV140" s="46"/>
      <c r="AW140" s="46"/>
      <c r="AX140" s="46"/>
      <c r="AY140" s="46"/>
      <c r="AZ140" s="46"/>
      <c r="BA140" s="46"/>
      <c r="BB140" s="47"/>
      <c r="BD140" s="45" t="s">
        <v>60</v>
      </c>
      <c r="BE140" s="46"/>
      <c r="BF140" s="46"/>
      <c r="BG140" s="46"/>
      <c r="BH140" s="46"/>
      <c r="BI140" s="46"/>
      <c r="BJ140" s="46"/>
      <c r="BK140" s="47"/>
      <c r="BM140" s="45" t="s">
        <v>60</v>
      </c>
      <c r="BN140" s="46"/>
      <c r="BO140" s="46"/>
      <c r="BP140" s="46"/>
      <c r="BQ140" s="46"/>
      <c r="BR140" s="46"/>
      <c r="BS140" s="46"/>
      <c r="BT140" s="47"/>
    </row>
    <row r="141" spans="2:72" x14ac:dyDescent="0.25">
      <c r="B141" s="7" t="s">
        <v>44</v>
      </c>
      <c r="C141" s="325" t="s">
        <v>63</v>
      </c>
      <c r="D141" s="325"/>
      <c r="E141" s="325"/>
      <c r="F141" s="325"/>
      <c r="G141" s="325"/>
      <c r="H141" s="325"/>
      <c r="I141" s="326"/>
      <c r="K141" s="7" t="s">
        <v>44</v>
      </c>
      <c r="L141" s="325" t="s">
        <v>63</v>
      </c>
      <c r="M141" s="325"/>
      <c r="N141" s="325"/>
      <c r="O141" s="325"/>
      <c r="P141" s="325"/>
      <c r="Q141" s="325"/>
      <c r="R141" s="326"/>
      <c r="T141" s="7" t="s">
        <v>44</v>
      </c>
      <c r="U141" s="325" t="s">
        <v>63</v>
      </c>
      <c r="V141" s="325"/>
      <c r="W141" s="325"/>
      <c r="X141" s="325"/>
      <c r="Y141" s="325"/>
      <c r="Z141" s="325"/>
      <c r="AA141" s="326"/>
      <c r="AC141" s="7" t="s">
        <v>44</v>
      </c>
      <c r="AD141" s="325" t="s">
        <v>63</v>
      </c>
      <c r="AE141" s="325"/>
      <c r="AF141" s="325"/>
      <c r="AG141" s="325"/>
      <c r="AH141" s="325"/>
      <c r="AI141" s="325"/>
      <c r="AJ141" s="326"/>
      <c r="AK141" s="3"/>
      <c r="AL141" s="7" t="s">
        <v>44</v>
      </c>
      <c r="AM141" s="325" t="s">
        <v>63</v>
      </c>
      <c r="AN141" s="325"/>
      <c r="AO141" s="325"/>
      <c r="AP141" s="325"/>
      <c r="AQ141" s="325"/>
      <c r="AR141" s="325"/>
      <c r="AS141" s="326"/>
      <c r="AU141" s="7" t="s">
        <v>44</v>
      </c>
      <c r="AV141" s="325" t="s">
        <v>63</v>
      </c>
      <c r="AW141" s="325"/>
      <c r="AX141" s="325"/>
      <c r="AY141" s="325"/>
      <c r="AZ141" s="325"/>
      <c r="BA141" s="325"/>
      <c r="BB141" s="326"/>
      <c r="BD141" s="7" t="s">
        <v>44</v>
      </c>
      <c r="BE141" s="325" t="s">
        <v>63</v>
      </c>
      <c r="BF141" s="325"/>
      <c r="BG141" s="325"/>
      <c r="BH141" s="325"/>
      <c r="BI141" s="325"/>
      <c r="BJ141" s="325"/>
      <c r="BK141" s="326"/>
      <c r="BM141" s="7" t="s">
        <v>44</v>
      </c>
      <c r="BN141" s="325" t="s">
        <v>63</v>
      </c>
      <c r="BO141" s="325"/>
      <c r="BP141" s="325"/>
      <c r="BQ141" s="325"/>
      <c r="BR141" s="325"/>
      <c r="BS141" s="325"/>
      <c r="BT141" s="326"/>
    </row>
    <row r="142" spans="2:72" x14ac:dyDescent="0.25">
      <c r="B142" s="5"/>
      <c r="C142" s="3" t="s">
        <v>46</v>
      </c>
      <c r="I142" s="10"/>
      <c r="K142" s="5"/>
      <c r="L142" s="3" t="s">
        <v>46</v>
      </c>
      <c r="M142" s="3"/>
      <c r="N142" s="3"/>
      <c r="O142" s="3"/>
      <c r="P142" s="3"/>
      <c r="Q142" s="3"/>
      <c r="R142" s="10"/>
      <c r="T142" s="5"/>
      <c r="U142" s="3" t="s">
        <v>46</v>
      </c>
      <c r="V142" s="3"/>
      <c r="W142" s="3"/>
      <c r="X142" s="3"/>
      <c r="Y142" s="3"/>
      <c r="Z142" s="3"/>
      <c r="AA142" s="10"/>
      <c r="AC142" s="5"/>
      <c r="AD142" s="3" t="s">
        <v>46</v>
      </c>
      <c r="AE142" s="3"/>
      <c r="AF142" s="3"/>
      <c r="AG142" s="3"/>
      <c r="AH142" s="3"/>
      <c r="AI142" s="3"/>
      <c r="AJ142" s="10"/>
      <c r="AK142" s="3"/>
      <c r="AL142" s="5"/>
      <c r="AM142" s="3" t="s">
        <v>46</v>
      </c>
      <c r="AN142" s="3"/>
      <c r="AO142" s="3"/>
      <c r="AP142" s="3"/>
      <c r="AQ142" s="3"/>
      <c r="AR142" s="3"/>
      <c r="AS142" s="10"/>
      <c r="AU142" s="5"/>
      <c r="AV142" s="3" t="s">
        <v>46</v>
      </c>
      <c r="AW142" s="3"/>
      <c r="AX142" s="3"/>
      <c r="AY142" s="3"/>
      <c r="AZ142" s="3"/>
      <c r="BA142" s="3"/>
      <c r="BB142" s="10"/>
      <c r="BD142" s="5"/>
      <c r="BE142" s="3" t="s">
        <v>46</v>
      </c>
      <c r="BF142" s="3"/>
      <c r="BG142" s="3"/>
      <c r="BH142" s="3"/>
      <c r="BI142" s="3"/>
      <c r="BJ142" s="3"/>
      <c r="BK142" s="10"/>
      <c r="BM142" s="5"/>
      <c r="BN142" s="3" t="s">
        <v>46</v>
      </c>
      <c r="BO142" s="3"/>
      <c r="BP142" s="3"/>
      <c r="BQ142" s="3"/>
      <c r="BR142" s="3"/>
      <c r="BS142" s="3"/>
      <c r="BT142" s="10"/>
    </row>
    <row r="143" spans="2:72" ht="15.75" thickBot="1" x14ac:dyDescent="0.3">
      <c r="B143" s="6"/>
      <c r="C143" s="11"/>
      <c r="D143" s="11" t="s">
        <v>47</v>
      </c>
      <c r="E143" s="11" t="s">
        <v>48</v>
      </c>
      <c r="F143" s="11" t="s">
        <v>47</v>
      </c>
      <c r="G143" s="11" t="s">
        <v>48</v>
      </c>
      <c r="H143" s="11" t="s">
        <v>47</v>
      </c>
      <c r="I143" s="12" t="s">
        <v>48</v>
      </c>
      <c r="K143" s="6"/>
      <c r="L143" s="11"/>
      <c r="M143" s="11" t="s">
        <v>47</v>
      </c>
      <c r="N143" s="11" t="s">
        <v>48</v>
      </c>
      <c r="O143" s="11" t="s">
        <v>47</v>
      </c>
      <c r="P143" s="11" t="s">
        <v>48</v>
      </c>
      <c r="Q143" s="11" t="s">
        <v>47</v>
      </c>
      <c r="R143" s="12" t="s">
        <v>48</v>
      </c>
      <c r="T143" s="6"/>
      <c r="U143" s="11"/>
      <c r="V143" s="11" t="s">
        <v>47</v>
      </c>
      <c r="W143" s="11" t="s">
        <v>48</v>
      </c>
      <c r="X143" s="11" t="s">
        <v>47</v>
      </c>
      <c r="Y143" s="11" t="s">
        <v>48</v>
      </c>
      <c r="Z143" s="11" t="s">
        <v>47</v>
      </c>
      <c r="AA143" s="12" t="s">
        <v>48</v>
      </c>
      <c r="AC143" s="6"/>
      <c r="AD143" s="11"/>
      <c r="AE143" s="11" t="s">
        <v>47</v>
      </c>
      <c r="AF143" s="11" t="s">
        <v>48</v>
      </c>
      <c r="AG143" s="11" t="s">
        <v>47</v>
      </c>
      <c r="AH143" s="11" t="s">
        <v>48</v>
      </c>
      <c r="AI143" s="11" t="s">
        <v>47</v>
      </c>
      <c r="AJ143" s="12" t="s">
        <v>48</v>
      </c>
      <c r="AK143" s="3"/>
      <c r="AL143" s="6"/>
      <c r="AM143" s="11"/>
      <c r="AN143" s="11" t="s">
        <v>47</v>
      </c>
      <c r="AO143" s="11" t="s">
        <v>48</v>
      </c>
      <c r="AP143" s="11" t="s">
        <v>47</v>
      </c>
      <c r="AQ143" s="11" t="s">
        <v>48</v>
      </c>
      <c r="AR143" s="11" t="s">
        <v>47</v>
      </c>
      <c r="AS143" s="12" t="s">
        <v>48</v>
      </c>
      <c r="AU143" s="6"/>
      <c r="AV143" s="11"/>
      <c r="AW143" s="11" t="s">
        <v>47</v>
      </c>
      <c r="AX143" s="11" t="s">
        <v>48</v>
      </c>
      <c r="AY143" s="11" t="s">
        <v>47</v>
      </c>
      <c r="AZ143" s="11" t="s">
        <v>48</v>
      </c>
      <c r="BA143" s="11" t="s">
        <v>47</v>
      </c>
      <c r="BB143" s="12" t="s">
        <v>48</v>
      </c>
      <c r="BD143" s="6"/>
      <c r="BE143" s="11"/>
      <c r="BF143" s="11" t="s">
        <v>47</v>
      </c>
      <c r="BG143" s="11" t="s">
        <v>48</v>
      </c>
      <c r="BH143" s="11" t="s">
        <v>47</v>
      </c>
      <c r="BI143" s="11" t="s">
        <v>48</v>
      </c>
      <c r="BJ143" s="11" t="s">
        <v>47</v>
      </c>
      <c r="BK143" s="12" t="s">
        <v>48</v>
      </c>
      <c r="BM143" s="6"/>
      <c r="BN143" s="11"/>
      <c r="BO143" s="11" t="s">
        <v>47</v>
      </c>
      <c r="BP143" s="11" t="s">
        <v>48</v>
      </c>
      <c r="BQ143" s="11" t="s">
        <v>47</v>
      </c>
      <c r="BR143" s="11" t="s">
        <v>48</v>
      </c>
      <c r="BS143" s="11" t="s">
        <v>47</v>
      </c>
      <c r="BT143" s="12" t="s">
        <v>48</v>
      </c>
    </row>
    <row r="144" spans="2:72" x14ac:dyDescent="0.25">
      <c r="B144" s="5" t="s">
        <v>49</v>
      </c>
      <c r="C144" s="3">
        <f>C87/$E$22</f>
        <v>0.11176936191425725</v>
      </c>
      <c r="D144" s="3">
        <f t="shared" ref="D144:I144" si="413">D87/$E$22</f>
        <v>0.11864542989180005</v>
      </c>
      <c r="E144" s="3">
        <f t="shared" si="413"/>
        <v>0.14978163465673405</v>
      </c>
      <c r="F144" s="3">
        <f t="shared" si="413"/>
        <v>0.13105836693740625</v>
      </c>
      <c r="G144" s="3">
        <f t="shared" si="413"/>
        <v>0.24397849988229595</v>
      </c>
      <c r="H144" s="3">
        <f t="shared" si="413"/>
        <v>0.14476997183931925</v>
      </c>
      <c r="I144" s="10">
        <f t="shared" si="413"/>
        <v>0.39741526750749256</v>
      </c>
      <c r="K144" s="5" t="s">
        <v>49</v>
      </c>
      <c r="L144" s="3">
        <f>L87/$E$22</f>
        <v>5.9455578265204388E-2</v>
      </c>
      <c r="M144" s="3">
        <f t="shared" ref="M144:R144" si="414">M87/$E$22</f>
        <v>6.3113294394149311E-2</v>
      </c>
      <c r="N144" s="3">
        <f t="shared" si="414"/>
        <v>7.9676161244038909E-2</v>
      </c>
      <c r="O144" s="3">
        <f t="shared" si="414"/>
        <v>6.9716341395368281E-2</v>
      </c>
      <c r="P144" s="3">
        <f t="shared" si="414"/>
        <v>0.129784070932668</v>
      </c>
      <c r="Q144" s="3">
        <f t="shared" si="414"/>
        <v>7.7010213208044867E-2</v>
      </c>
      <c r="R144" s="10">
        <f t="shared" si="414"/>
        <v>0.21140457578352528</v>
      </c>
      <c r="T144" s="5" t="s">
        <v>49</v>
      </c>
      <c r="U144" s="3">
        <f>U87/$E$22</f>
        <v>5.033225324027917E-3</v>
      </c>
      <c r="V144" s="3">
        <f t="shared" ref="V144:AA144" si="415">V87/$E$22</f>
        <v>5.3428701039708818E-3</v>
      </c>
      <c r="W144" s="3">
        <f t="shared" si="415"/>
        <v>6.7450033150131643E-3</v>
      </c>
      <c r="X144" s="3">
        <f t="shared" si="415"/>
        <v>5.9018525300442992E-3</v>
      </c>
      <c r="Y144" s="3">
        <f t="shared" si="415"/>
        <v>1.0986899657420975E-2</v>
      </c>
      <c r="Z144" s="3">
        <f t="shared" si="415"/>
        <v>6.5193168856010307E-3</v>
      </c>
      <c r="AA144" s="10">
        <f t="shared" si="415"/>
        <v>1.789650181691594E-2</v>
      </c>
      <c r="AC144" s="5" t="s">
        <v>49</v>
      </c>
      <c r="AD144" s="3">
        <f>AD87/$E$22</f>
        <v>6.0474651046859423E-3</v>
      </c>
      <c r="AE144" s="3">
        <f t="shared" ref="AE144:AJ144" si="416">AE87/$E$22</f>
        <v>6.4195060686805146E-3</v>
      </c>
      <c r="AF144" s="3">
        <f t="shared" si="416"/>
        <v>8.1041816236214394E-3</v>
      </c>
      <c r="AG144" s="3">
        <f t="shared" si="416"/>
        <v>7.0911284376759965E-3</v>
      </c>
      <c r="AH144" s="3">
        <f t="shared" si="416"/>
        <v>1.3200857901145448E-2</v>
      </c>
      <c r="AI144" s="3">
        <f t="shared" si="416"/>
        <v>7.8330173663894963E-3</v>
      </c>
      <c r="AJ144" s="10">
        <f t="shared" si="416"/>
        <v>2.1502806504028357E-2</v>
      </c>
      <c r="AK144" s="3"/>
      <c r="AL144" s="5" t="s">
        <v>49</v>
      </c>
      <c r="AM144" s="3">
        <f>AM87/$E$22</f>
        <v>1.1080690428713862E-2</v>
      </c>
      <c r="AN144" s="3">
        <f t="shared" ref="AN144:AS144" si="417">AN87/$E$22</f>
        <v>1.1762376172651398E-2</v>
      </c>
      <c r="AO144" s="3">
        <f t="shared" si="417"/>
        <v>1.4849184938634607E-2</v>
      </c>
      <c r="AP144" s="3">
        <f t="shared" si="417"/>
        <v>1.2992980967720297E-2</v>
      </c>
      <c r="AQ144" s="3">
        <f t="shared" si="417"/>
        <v>2.418775755856643E-2</v>
      </c>
      <c r="AR144" s="3">
        <f t="shared" si="417"/>
        <v>1.4352334251990529E-2</v>
      </c>
      <c r="AS144" s="10">
        <f t="shared" si="417"/>
        <v>3.93993083209443E-2</v>
      </c>
      <c r="AU144" s="5" t="s">
        <v>49</v>
      </c>
      <c r="AV144" s="3">
        <f>AV87/$E$22</f>
        <v>3.3168195413758729E-3</v>
      </c>
      <c r="AW144" s="3">
        <f t="shared" ref="AW144:BB144" si="418">AW87/$E$22</f>
        <v>3.5208707790776567E-3</v>
      </c>
      <c r="AX144" s="3">
        <f t="shared" si="418"/>
        <v>4.4448554081376193E-3</v>
      </c>
      <c r="AY144" s="3">
        <f t="shared" si="418"/>
        <v>3.889231763282965E-3</v>
      </c>
      <c r="AZ144" s="3">
        <f t="shared" si="418"/>
        <v>7.240201091118021E-3</v>
      </c>
      <c r="BA144" s="3">
        <f t="shared" si="418"/>
        <v>4.2961314565743963E-3</v>
      </c>
      <c r="BB144" s="10">
        <f t="shared" si="418"/>
        <v>1.1793524654110314E-2</v>
      </c>
      <c r="BD144" s="5" t="s">
        <v>49</v>
      </c>
      <c r="BE144" s="3">
        <f>BE87/$E$22</f>
        <v>4.635193170488534E-3</v>
      </c>
      <c r="BF144" s="3">
        <f t="shared" ref="BF144:BK144" si="419">BF87/$E$22</f>
        <v>4.9203509524017161E-3</v>
      </c>
      <c r="BG144" s="3">
        <f t="shared" si="419"/>
        <v>6.2116021612264576E-3</v>
      </c>
      <c r="BH144" s="3">
        <f t="shared" si="419"/>
        <v>5.4351285268110288E-3</v>
      </c>
      <c r="BI144" s="3">
        <f t="shared" si="419"/>
        <v>1.011804538410092E-2</v>
      </c>
      <c r="BJ144" s="3">
        <f t="shared" si="419"/>
        <v>6.0037632251690688E-3</v>
      </c>
      <c r="BK144" s="10">
        <f t="shared" si="419"/>
        <v>1.6481229759652286E-2</v>
      </c>
      <c r="BM144" s="5" t="s">
        <v>49</v>
      </c>
      <c r="BN144" s="3">
        <f>BN87/$E$22</f>
        <v>7.9520127118644056E-3</v>
      </c>
      <c r="BO144" s="3">
        <f t="shared" ref="BO144:BT144" si="420">BO87/$E$22</f>
        <v>8.4412217314793724E-3</v>
      </c>
      <c r="BP144" s="3">
        <f t="shared" si="420"/>
        <v>1.0656457569364074E-2</v>
      </c>
      <c r="BQ144" s="3">
        <f t="shared" si="420"/>
        <v>9.3243602900939925E-3</v>
      </c>
      <c r="BR144" s="3">
        <f t="shared" si="420"/>
        <v>1.7358246475218941E-2</v>
      </c>
      <c r="BS144" s="3">
        <f t="shared" si="420"/>
        <v>1.0299894681743464E-2</v>
      </c>
      <c r="BT144" s="10">
        <f t="shared" si="420"/>
        <v>2.8274754413762596E-2</v>
      </c>
    </row>
    <row r="145" spans="2:72" x14ac:dyDescent="0.25">
      <c r="B145" s="5" t="s">
        <v>50</v>
      </c>
      <c r="C145" s="3">
        <f t="shared" ref="C145:I149" si="421">C88/$E$22</f>
        <v>0.2235387238285145</v>
      </c>
      <c r="D145" s="3">
        <f t="shared" si="421"/>
        <v>0.23729085978360009</v>
      </c>
      <c r="E145" s="3">
        <f t="shared" si="421"/>
        <v>0.29956326931346811</v>
      </c>
      <c r="F145" s="3">
        <f t="shared" si="421"/>
        <v>0.26211673387481249</v>
      </c>
      <c r="G145" s="3">
        <f t="shared" si="421"/>
        <v>0.48795699976459189</v>
      </c>
      <c r="H145" s="3">
        <f t="shared" si="421"/>
        <v>0.2895399436786385</v>
      </c>
      <c r="I145" s="10">
        <f t="shared" si="421"/>
        <v>0.79483053501498513</v>
      </c>
      <c r="K145" s="5" t="s">
        <v>50</v>
      </c>
      <c r="L145" s="3">
        <f t="shared" ref="L145:R145" si="422">L88/$E$22</f>
        <v>0.11891115653040878</v>
      </c>
      <c r="M145" s="3">
        <f t="shared" si="422"/>
        <v>0.12622658878829862</v>
      </c>
      <c r="N145" s="3">
        <f t="shared" si="422"/>
        <v>0.15935232248807782</v>
      </c>
      <c r="O145" s="3">
        <f t="shared" si="422"/>
        <v>0.13943268279073656</v>
      </c>
      <c r="P145" s="3">
        <f t="shared" si="422"/>
        <v>0.259568141865336</v>
      </c>
      <c r="Q145" s="3">
        <f t="shared" si="422"/>
        <v>0.15402042641608973</v>
      </c>
      <c r="R145" s="10">
        <f t="shared" si="422"/>
        <v>0.42280915156705057</v>
      </c>
      <c r="T145" s="5" t="s">
        <v>50</v>
      </c>
      <c r="U145" s="3">
        <f t="shared" ref="U145:AA145" si="423">U88/$E$22</f>
        <v>1.0066450648055834E-2</v>
      </c>
      <c r="V145" s="3">
        <f t="shared" si="423"/>
        <v>1.0685740207941764E-2</v>
      </c>
      <c r="W145" s="3">
        <f t="shared" si="423"/>
        <v>1.3490006630026329E-2</v>
      </c>
      <c r="X145" s="3">
        <f t="shared" si="423"/>
        <v>1.1803705060088598E-2</v>
      </c>
      <c r="Y145" s="3">
        <f t="shared" si="423"/>
        <v>2.197379931484195E-2</v>
      </c>
      <c r="Z145" s="3">
        <f t="shared" si="423"/>
        <v>1.3038633771202061E-2</v>
      </c>
      <c r="AA145" s="10">
        <f t="shared" si="423"/>
        <v>3.579300363383188E-2</v>
      </c>
      <c r="AC145" s="5" t="s">
        <v>50</v>
      </c>
      <c r="AD145" s="3">
        <f t="shared" ref="AD145:AJ145" si="424">AD88/$E$22</f>
        <v>1.2094930209371885E-2</v>
      </c>
      <c r="AE145" s="3">
        <f t="shared" si="424"/>
        <v>1.2839012137361029E-2</v>
      </c>
      <c r="AF145" s="3">
        <f t="shared" si="424"/>
        <v>1.6208363247242879E-2</v>
      </c>
      <c r="AG145" s="3">
        <f t="shared" si="424"/>
        <v>1.4182256875351993E-2</v>
      </c>
      <c r="AH145" s="3">
        <f t="shared" si="424"/>
        <v>2.6401715802290896E-2</v>
      </c>
      <c r="AI145" s="3">
        <f t="shared" si="424"/>
        <v>1.5666034732778993E-2</v>
      </c>
      <c r="AJ145" s="10">
        <f t="shared" si="424"/>
        <v>4.3005613008056713E-2</v>
      </c>
      <c r="AK145" s="3"/>
      <c r="AL145" s="5" t="s">
        <v>50</v>
      </c>
      <c r="AM145" s="3">
        <f t="shared" ref="AM145:AS145" si="425">AM88/$E$22</f>
        <v>2.2161380857427724E-2</v>
      </c>
      <c r="AN145" s="3">
        <f t="shared" si="425"/>
        <v>2.3524752345302796E-2</v>
      </c>
      <c r="AO145" s="3">
        <f t="shared" si="425"/>
        <v>2.9698369877269214E-2</v>
      </c>
      <c r="AP145" s="3">
        <f t="shared" si="425"/>
        <v>2.5985961935440595E-2</v>
      </c>
      <c r="AQ145" s="3">
        <f t="shared" si="425"/>
        <v>4.837551511713286E-2</v>
      </c>
      <c r="AR145" s="3">
        <f t="shared" si="425"/>
        <v>2.8704668503981057E-2</v>
      </c>
      <c r="AS145" s="10">
        <f t="shared" si="425"/>
        <v>7.87986166418886E-2</v>
      </c>
      <c r="AU145" s="5" t="s">
        <v>50</v>
      </c>
      <c r="AV145" s="3">
        <f t="shared" ref="AV145:BB145" si="426">AV88/$E$22</f>
        <v>6.6336390827517458E-3</v>
      </c>
      <c r="AW145" s="3">
        <f t="shared" si="426"/>
        <v>7.0417415581553134E-3</v>
      </c>
      <c r="AX145" s="3">
        <f t="shared" si="426"/>
        <v>8.8897108162752387E-3</v>
      </c>
      <c r="AY145" s="3">
        <f t="shared" si="426"/>
        <v>7.77846352656593E-3</v>
      </c>
      <c r="AZ145" s="3">
        <f t="shared" si="426"/>
        <v>1.4480402182236042E-2</v>
      </c>
      <c r="BA145" s="3">
        <f t="shared" si="426"/>
        <v>8.5922629131487925E-3</v>
      </c>
      <c r="BB145" s="10">
        <f t="shared" si="426"/>
        <v>2.3587049308220628E-2</v>
      </c>
      <c r="BD145" s="5" t="s">
        <v>50</v>
      </c>
      <c r="BE145" s="3">
        <f t="shared" ref="BE145:BK145" si="427">BE88/$E$22</f>
        <v>9.270386340977068E-3</v>
      </c>
      <c r="BF145" s="3">
        <f t="shared" si="427"/>
        <v>9.8407019048034321E-3</v>
      </c>
      <c r="BG145" s="3">
        <f t="shared" si="427"/>
        <v>1.2423204322452915E-2</v>
      </c>
      <c r="BH145" s="3">
        <f t="shared" si="427"/>
        <v>1.0870257053622058E-2</v>
      </c>
      <c r="BI145" s="3">
        <f t="shared" si="427"/>
        <v>2.0236090768201841E-2</v>
      </c>
      <c r="BJ145" s="3">
        <f t="shared" si="427"/>
        <v>1.2007526450338138E-2</v>
      </c>
      <c r="BK145" s="10">
        <f t="shared" si="427"/>
        <v>3.2962459519304571E-2</v>
      </c>
      <c r="BM145" s="5" t="s">
        <v>50</v>
      </c>
      <c r="BN145" s="3">
        <f t="shared" ref="BN145:BT145" si="428">BN88/$E$22</f>
        <v>1.5904025423728811E-2</v>
      </c>
      <c r="BO145" s="3">
        <f t="shared" si="428"/>
        <v>1.6882443462958745E-2</v>
      </c>
      <c r="BP145" s="3">
        <f t="shared" si="428"/>
        <v>2.1312915138728149E-2</v>
      </c>
      <c r="BQ145" s="3">
        <f t="shared" si="428"/>
        <v>1.8648720580187985E-2</v>
      </c>
      <c r="BR145" s="3">
        <f t="shared" si="428"/>
        <v>3.4716492950437883E-2</v>
      </c>
      <c r="BS145" s="3">
        <f t="shared" si="428"/>
        <v>2.0599789363486928E-2</v>
      </c>
      <c r="BT145" s="10">
        <f t="shared" si="428"/>
        <v>5.6549508827525193E-2</v>
      </c>
    </row>
    <row r="146" spans="2:72" x14ac:dyDescent="0.25">
      <c r="B146" s="5" t="s">
        <v>51</v>
      </c>
      <c r="C146" s="3">
        <f t="shared" si="421"/>
        <v>0.55884680957128618</v>
      </c>
      <c r="D146" s="3">
        <f t="shared" si="421"/>
        <v>0.59322714945900024</v>
      </c>
      <c r="E146" s="3">
        <f t="shared" si="421"/>
        <v>0.74890817328367021</v>
      </c>
      <c r="F146" s="3">
        <f t="shared" si="421"/>
        <v>0.65529183468703112</v>
      </c>
      <c r="G146" s="3">
        <f t="shared" si="421"/>
        <v>1.2198924994114795</v>
      </c>
      <c r="H146" s="3">
        <f t="shared" si="421"/>
        <v>0.72384985919659617</v>
      </c>
      <c r="I146" s="10">
        <f t="shared" si="421"/>
        <v>1.9870763375374625</v>
      </c>
      <c r="K146" s="5" t="s">
        <v>51</v>
      </c>
      <c r="L146" s="3">
        <f t="shared" ref="L146:R146" si="429">L89/$E$22</f>
        <v>0.29727789132602195</v>
      </c>
      <c r="M146" s="3">
        <f t="shared" si="429"/>
        <v>0.31556647197074655</v>
      </c>
      <c r="N146" s="3">
        <f t="shared" si="429"/>
        <v>0.39838080622019451</v>
      </c>
      <c r="O146" s="3">
        <f t="shared" si="429"/>
        <v>0.34858170697684138</v>
      </c>
      <c r="P146" s="3">
        <f t="shared" si="429"/>
        <v>0.64892035466334008</v>
      </c>
      <c r="Q146" s="3">
        <f t="shared" si="429"/>
        <v>0.38505106604022432</v>
      </c>
      <c r="R146" s="10">
        <f t="shared" si="429"/>
        <v>1.0570228789176264</v>
      </c>
      <c r="T146" s="5" t="s">
        <v>51</v>
      </c>
      <c r="U146" s="3">
        <f t="shared" ref="U146:AA146" si="430">U89/$E$22</f>
        <v>2.5166126620139583E-2</v>
      </c>
      <c r="V146" s="3">
        <f t="shared" si="430"/>
        <v>2.6714350519854407E-2</v>
      </c>
      <c r="W146" s="3">
        <f t="shared" si="430"/>
        <v>3.3725016575065818E-2</v>
      </c>
      <c r="X146" s="3">
        <f t="shared" si="430"/>
        <v>2.9509262650221493E-2</v>
      </c>
      <c r="Y146" s="3">
        <f t="shared" si="430"/>
        <v>5.4934498287104873E-2</v>
      </c>
      <c r="Z146" s="3">
        <f t="shared" si="430"/>
        <v>3.259658442800515E-2</v>
      </c>
      <c r="AA146" s="10">
        <f t="shared" si="430"/>
        <v>8.9482509084579706E-2</v>
      </c>
      <c r="AC146" s="5" t="s">
        <v>51</v>
      </c>
      <c r="AD146" s="3">
        <f t="shared" ref="AD146:AJ146" si="431">AD89/$E$22</f>
        <v>3.0237325523429712E-2</v>
      </c>
      <c r="AE146" s="3">
        <f t="shared" si="431"/>
        <v>3.2097530343402569E-2</v>
      </c>
      <c r="AF146" s="3">
        <f t="shared" si="431"/>
        <v>4.0520908118107199E-2</v>
      </c>
      <c r="AG146" s="3">
        <f t="shared" si="431"/>
        <v>3.5455642188379981E-2</v>
      </c>
      <c r="AH146" s="3">
        <f t="shared" si="431"/>
        <v>6.6004289505727246E-2</v>
      </c>
      <c r="AI146" s="3">
        <f t="shared" si="431"/>
        <v>3.9165086831947478E-2</v>
      </c>
      <c r="AJ146" s="10">
        <f t="shared" si="431"/>
        <v>0.10751403252014179</v>
      </c>
      <c r="AK146" s="3"/>
      <c r="AL146" s="5" t="s">
        <v>51</v>
      </c>
      <c r="AM146" s="3">
        <f t="shared" ref="AM146:AS146" si="432">AM89/$E$22</f>
        <v>5.5403452143569301E-2</v>
      </c>
      <c r="AN146" s="3">
        <f t="shared" si="432"/>
        <v>5.8811880863256991E-2</v>
      </c>
      <c r="AO146" s="3">
        <f t="shared" si="432"/>
        <v>7.4245924693173024E-2</v>
      </c>
      <c r="AP146" s="3">
        <f t="shared" si="432"/>
        <v>6.4964904838601484E-2</v>
      </c>
      <c r="AQ146" s="3">
        <f t="shared" si="432"/>
        <v>0.12093878779283213</v>
      </c>
      <c r="AR146" s="3">
        <f t="shared" si="432"/>
        <v>7.1761671259952628E-2</v>
      </c>
      <c r="AS146" s="10">
        <f t="shared" si="432"/>
        <v>0.19699654160472149</v>
      </c>
      <c r="AU146" s="5" t="s">
        <v>51</v>
      </c>
      <c r="AV146" s="3">
        <f t="shared" ref="AV146:BB146" si="433">AV89/$E$22</f>
        <v>1.6584097706879367E-2</v>
      </c>
      <c r="AW146" s="3">
        <f t="shared" si="433"/>
        <v>1.7604353895388284E-2</v>
      </c>
      <c r="AX146" s="3">
        <f t="shared" si="433"/>
        <v>2.2224277040688096E-2</v>
      </c>
      <c r="AY146" s="3">
        <f t="shared" si="433"/>
        <v>1.9446158816414826E-2</v>
      </c>
      <c r="AZ146" s="3">
        <f t="shared" si="433"/>
        <v>3.6201005455590102E-2</v>
      </c>
      <c r="BA146" s="3">
        <f t="shared" si="433"/>
        <v>2.1480657282871983E-2</v>
      </c>
      <c r="BB146" s="10">
        <f t="shared" si="433"/>
        <v>5.8967623270551564E-2</v>
      </c>
      <c r="BD146" s="5" t="s">
        <v>51</v>
      </c>
      <c r="BE146" s="3">
        <f t="shared" ref="BE146:BK146" si="434">BE89/$E$22</f>
        <v>2.3175965852442672E-2</v>
      </c>
      <c r="BF146" s="3">
        <f t="shared" si="434"/>
        <v>2.4601754762008581E-2</v>
      </c>
      <c r="BG146" s="3">
        <f t="shared" si="434"/>
        <v>3.1058010806132286E-2</v>
      </c>
      <c r="BH146" s="3">
        <f t="shared" si="434"/>
        <v>2.7175642634055142E-2</v>
      </c>
      <c r="BI146" s="3">
        <f t="shared" si="434"/>
        <v>5.0590226920504598E-2</v>
      </c>
      <c r="BJ146" s="3">
        <f t="shared" si="434"/>
        <v>3.0018816125845341E-2</v>
      </c>
      <c r="BK146" s="10">
        <f t="shared" si="434"/>
        <v>8.2406148798261428E-2</v>
      </c>
      <c r="BM146" s="5" t="s">
        <v>51</v>
      </c>
      <c r="BN146" s="3">
        <f t="shared" ref="BN146:BT146" si="435">BN89/$E$22</f>
        <v>3.9760063559322031E-2</v>
      </c>
      <c r="BO146" s="3">
        <f t="shared" si="435"/>
        <v>4.2206108657396858E-2</v>
      </c>
      <c r="BP146" s="3">
        <f t="shared" si="435"/>
        <v>5.3282287846820368E-2</v>
      </c>
      <c r="BQ146" s="3">
        <f t="shared" si="435"/>
        <v>4.6621801450469957E-2</v>
      </c>
      <c r="BR146" s="3">
        <f t="shared" si="435"/>
        <v>8.6791232376094693E-2</v>
      </c>
      <c r="BS146" s="3">
        <f t="shared" si="435"/>
        <v>5.1499473408717314E-2</v>
      </c>
      <c r="BT146" s="10">
        <f t="shared" si="435"/>
        <v>0.14137377206881296</v>
      </c>
    </row>
    <row r="147" spans="2:72" x14ac:dyDescent="0.25">
      <c r="B147" s="5" t="s">
        <v>52</v>
      </c>
      <c r="C147" s="3">
        <f t="shared" si="421"/>
        <v>1.1176936191425724</v>
      </c>
      <c r="D147" s="3">
        <f t="shared" si="421"/>
        <v>1.1864542989180005</v>
      </c>
      <c r="E147" s="3">
        <f t="shared" si="421"/>
        <v>1.4978163465673404</v>
      </c>
      <c r="F147" s="3">
        <f t="shared" si="421"/>
        <v>1.3105836693740622</v>
      </c>
      <c r="G147" s="3">
        <f t="shared" si="421"/>
        <v>2.439784998822959</v>
      </c>
      <c r="H147" s="3">
        <f t="shared" si="421"/>
        <v>1.4476997183931923</v>
      </c>
      <c r="I147" s="10">
        <f t="shared" si="421"/>
        <v>3.974152675074925</v>
      </c>
      <c r="K147" s="5" t="s">
        <v>52</v>
      </c>
      <c r="L147" s="3">
        <f t="shared" ref="L147:R147" si="436">L90/$E$22</f>
        <v>0.5945557826520439</v>
      </c>
      <c r="M147" s="3">
        <f t="shared" si="436"/>
        <v>0.63113294394149311</v>
      </c>
      <c r="N147" s="3">
        <f t="shared" si="436"/>
        <v>0.79676161244038901</v>
      </c>
      <c r="O147" s="3">
        <f t="shared" si="436"/>
        <v>0.69716341395368275</v>
      </c>
      <c r="P147" s="3">
        <f t="shared" si="436"/>
        <v>1.2978407093266802</v>
      </c>
      <c r="Q147" s="3">
        <f t="shared" si="436"/>
        <v>0.77010213208044864</v>
      </c>
      <c r="R147" s="10">
        <f t="shared" si="436"/>
        <v>2.1140457578352527</v>
      </c>
      <c r="T147" s="5" t="s">
        <v>52</v>
      </c>
      <c r="U147" s="3">
        <f t="shared" ref="U147:AA147" si="437">U90/$E$22</f>
        <v>5.0332253240279165E-2</v>
      </c>
      <c r="V147" s="3">
        <f t="shared" si="437"/>
        <v>5.3428701039708815E-2</v>
      </c>
      <c r="W147" s="3">
        <f t="shared" si="437"/>
        <v>6.7450033150131636E-2</v>
      </c>
      <c r="X147" s="3">
        <f t="shared" si="437"/>
        <v>5.9018525300442985E-2</v>
      </c>
      <c r="Y147" s="3">
        <f t="shared" si="437"/>
        <v>0.10986899657420975</v>
      </c>
      <c r="Z147" s="3">
        <f t="shared" si="437"/>
        <v>6.51931688560103E-2</v>
      </c>
      <c r="AA147" s="10">
        <f t="shared" si="437"/>
        <v>0.17896501816915941</v>
      </c>
      <c r="AC147" s="5" t="s">
        <v>52</v>
      </c>
      <c r="AD147" s="3">
        <f t="shared" ref="AD147:AJ147" si="438">AD90/$E$22</f>
        <v>6.0474651046859423E-2</v>
      </c>
      <c r="AE147" s="3">
        <f t="shared" si="438"/>
        <v>6.4195060686805139E-2</v>
      </c>
      <c r="AF147" s="3">
        <f t="shared" si="438"/>
        <v>8.1041816236214398E-2</v>
      </c>
      <c r="AG147" s="3">
        <f t="shared" si="438"/>
        <v>7.0911284376759962E-2</v>
      </c>
      <c r="AH147" s="3">
        <f t="shared" si="438"/>
        <v>0.13200857901145449</v>
      </c>
      <c r="AI147" s="3">
        <f t="shared" si="438"/>
        <v>7.8330173663894956E-2</v>
      </c>
      <c r="AJ147" s="10">
        <f t="shared" si="438"/>
        <v>0.21502806504028357</v>
      </c>
      <c r="AK147" s="3"/>
      <c r="AL147" s="5" t="s">
        <v>52</v>
      </c>
      <c r="AM147" s="3">
        <f t="shared" ref="AM147:AS147" si="439">AM90/$E$22</f>
        <v>0.1108069042871386</v>
      </c>
      <c r="AN147" s="3">
        <f t="shared" si="439"/>
        <v>0.11762376172651398</v>
      </c>
      <c r="AO147" s="3">
        <f t="shared" si="439"/>
        <v>0.14849184938634605</v>
      </c>
      <c r="AP147" s="3">
        <f t="shared" si="439"/>
        <v>0.12992980967720297</v>
      </c>
      <c r="AQ147" s="3">
        <f t="shared" si="439"/>
        <v>0.24187757558566425</v>
      </c>
      <c r="AR147" s="3">
        <f t="shared" si="439"/>
        <v>0.14352334251990526</v>
      </c>
      <c r="AS147" s="10">
        <f t="shared" si="439"/>
        <v>0.39399308320944298</v>
      </c>
      <c r="AU147" s="5" t="s">
        <v>52</v>
      </c>
      <c r="AV147" s="3">
        <f t="shared" ref="AV147:BB147" si="440">AV90/$E$22</f>
        <v>3.3168195413758733E-2</v>
      </c>
      <c r="AW147" s="3">
        <f t="shared" si="440"/>
        <v>3.5208707790776568E-2</v>
      </c>
      <c r="AX147" s="3">
        <f t="shared" si="440"/>
        <v>4.4448554081376192E-2</v>
      </c>
      <c r="AY147" s="3">
        <f t="shared" si="440"/>
        <v>3.8892317632829652E-2</v>
      </c>
      <c r="AZ147" s="3">
        <f t="shared" si="440"/>
        <v>7.2402010911180203E-2</v>
      </c>
      <c r="BA147" s="3">
        <f t="shared" si="440"/>
        <v>4.2961314565743966E-2</v>
      </c>
      <c r="BB147" s="10">
        <f t="shared" si="440"/>
        <v>0.11793524654110313</v>
      </c>
      <c r="BD147" s="5" t="s">
        <v>52</v>
      </c>
      <c r="BE147" s="3">
        <f t="shared" ref="BE147:BK147" si="441">BE90/$E$22</f>
        <v>4.6351931704885344E-2</v>
      </c>
      <c r="BF147" s="3">
        <f t="shared" si="441"/>
        <v>4.9203509524017162E-2</v>
      </c>
      <c r="BG147" s="3">
        <f t="shared" si="441"/>
        <v>6.2116021612264573E-2</v>
      </c>
      <c r="BH147" s="3">
        <f t="shared" si="441"/>
        <v>5.4351285268110283E-2</v>
      </c>
      <c r="BI147" s="3">
        <f t="shared" si="441"/>
        <v>0.1011804538410092</v>
      </c>
      <c r="BJ147" s="3">
        <f t="shared" si="441"/>
        <v>6.0037632251690683E-2</v>
      </c>
      <c r="BK147" s="10">
        <f t="shared" si="441"/>
        <v>0.16481229759652286</v>
      </c>
      <c r="BM147" s="5" t="s">
        <v>52</v>
      </c>
      <c r="BN147" s="3">
        <f t="shared" ref="BN147:BT147" si="442">BN90/$E$22</f>
        <v>7.9520127118644063E-2</v>
      </c>
      <c r="BO147" s="3">
        <f t="shared" si="442"/>
        <v>8.4412217314793717E-2</v>
      </c>
      <c r="BP147" s="3">
        <f t="shared" si="442"/>
        <v>0.10656457569364074</v>
      </c>
      <c r="BQ147" s="3">
        <f t="shared" si="442"/>
        <v>9.3243602900939915E-2</v>
      </c>
      <c r="BR147" s="3">
        <f t="shared" si="442"/>
        <v>0.17358246475218939</v>
      </c>
      <c r="BS147" s="3">
        <f t="shared" si="442"/>
        <v>0.10299894681743463</v>
      </c>
      <c r="BT147" s="10">
        <f t="shared" si="442"/>
        <v>0.28274754413762593</v>
      </c>
    </row>
    <row r="148" spans="2:72" x14ac:dyDescent="0.25">
      <c r="B148" s="5" t="s">
        <v>53</v>
      </c>
      <c r="C148" s="3">
        <f t="shared" si="421"/>
        <v>1.6765404287138586</v>
      </c>
      <c r="D148" s="3">
        <f t="shared" si="421"/>
        <v>1.7796814483770005</v>
      </c>
      <c r="E148" s="3">
        <f t="shared" si="421"/>
        <v>2.2467245198510106</v>
      </c>
      <c r="F148" s="3">
        <f t="shared" si="421"/>
        <v>1.9658755040610933</v>
      </c>
      <c r="G148" s="3">
        <f t="shared" si="421"/>
        <v>3.6596774982344389</v>
      </c>
      <c r="H148" s="3">
        <f t="shared" si="421"/>
        <v>2.1715495775897882</v>
      </c>
      <c r="I148" s="10">
        <f t="shared" si="421"/>
        <v>5.961229012612387</v>
      </c>
      <c r="K148" s="5" t="s">
        <v>53</v>
      </c>
      <c r="L148" s="3">
        <f t="shared" ref="L148:R148" si="443">L91/$E$22</f>
        <v>0.8918336739780659</v>
      </c>
      <c r="M148" s="3">
        <f t="shared" si="443"/>
        <v>0.94669941591223972</v>
      </c>
      <c r="N148" s="3">
        <f t="shared" si="443"/>
        <v>1.1951424186605837</v>
      </c>
      <c r="O148" s="3">
        <f t="shared" si="443"/>
        <v>1.0457451209305242</v>
      </c>
      <c r="P148" s="3">
        <f t="shared" si="443"/>
        <v>1.9467610639900201</v>
      </c>
      <c r="Q148" s="3">
        <f t="shared" si="443"/>
        <v>1.1551531981206731</v>
      </c>
      <c r="R148" s="10">
        <f t="shared" si="443"/>
        <v>3.1710686367528789</v>
      </c>
      <c r="T148" s="5" t="s">
        <v>53</v>
      </c>
      <c r="U148" s="3">
        <f t="shared" ref="U148:AA148" si="444">U91/$E$22</f>
        <v>7.5498379860418741E-2</v>
      </c>
      <c r="V148" s="3">
        <f t="shared" si="444"/>
        <v>8.0143051559563222E-2</v>
      </c>
      <c r="W148" s="3">
        <f t="shared" si="444"/>
        <v>0.10117504972519746</v>
      </c>
      <c r="X148" s="3">
        <f t="shared" si="444"/>
        <v>8.8527787950664488E-2</v>
      </c>
      <c r="Y148" s="3">
        <f t="shared" si="444"/>
        <v>0.1648034948613146</v>
      </c>
      <c r="Z148" s="3">
        <f t="shared" si="444"/>
        <v>9.7789753284015443E-2</v>
      </c>
      <c r="AA148" s="10">
        <f t="shared" si="444"/>
        <v>0.2684475272537391</v>
      </c>
      <c r="AC148" s="5" t="s">
        <v>53</v>
      </c>
      <c r="AD148" s="3">
        <f t="shared" ref="AD148:AJ148" si="445">AD91/$E$22</f>
        <v>9.0711976570289135E-2</v>
      </c>
      <c r="AE148" s="3">
        <f t="shared" si="445"/>
        <v>9.6292591030207708E-2</v>
      </c>
      <c r="AF148" s="3">
        <f t="shared" si="445"/>
        <v>0.1215627243543216</v>
      </c>
      <c r="AG148" s="3">
        <f t="shared" si="445"/>
        <v>0.10636692656513995</v>
      </c>
      <c r="AH148" s="3">
        <f t="shared" si="445"/>
        <v>0.19801286851718172</v>
      </c>
      <c r="AI148" s="3">
        <f t="shared" si="445"/>
        <v>0.11749526049584243</v>
      </c>
      <c r="AJ148" s="10">
        <f t="shared" si="445"/>
        <v>0.32254209756042534</v>
      </c>
      <c r="AK148" s="3"/>
      <c r="AL148" s="5" t="s">
        <v>53</v>
      </c>
      <c r="AM148" s="3">
        <f t="shared" ref="AM148:AS148" si="446">AM91/$E$22</f>
        <v>0.16621035643070789</v>
      </c>
      <c r="AN148" s="3">
        <f t="shared" si="446"/>
        <v>0.17643564258977096</v>
      </c>
      <c r="AO148" s="3">
        <f t="shared" si="446"/>
        <v>0.22273777407951909</v>
      </c>
      <c r="AP148" s="3">
        <f t="shared" si="446"/>
        <v>0.19489471451580442</v>
      </c>
      <c r="AQ148" s="3">
        <f t="shared" si="446"/>
        <v>0.36281636337849638</v>
      </c>
      <c r="AR148" s="3">
        <f t="shared" si="446"/>
        <v>0.2152850137798579</v>
      </c>
      <c r="AS148" s="10">
        <f t="shared" si="446"/>
        <v>0.5909896248141645</v>
      </c>
      <c r="AU148" s="5" t="s">
        <v>53</v>
      </c>
      <c r="AV148" s="3">
        <f t="shared" ref="AV148:BB148" si="447">AV91/$E$22</f>
        <v>4.97522931206381E-2</v>
      </c>
      <c r="AW148" s="3">
        <f t="shared" si="447"/>
        <v>5.2813061686164856E-2</v>
      </c>
      <c r="AX148" s="3">
        <f t="shared" si="447"/>
        <v>6.6672831122064291E-2</v>
      </c>
      <c r="AY148" s="3">
        <f t="shared" si="447"/>
        <v>5.8338476449244482E-2</v>
      </c>
      <c r="AZ148" s="3">
        <f t="shared" si="447"/>
        <v>0.10860301636677032</v>
      </c>
      <c r="BA148" s="3">
        <f t="shared" si="447"/>
        <v>6.4441971848615956E-2</v>
      </c>
      <c r="BB148" s="10">
        <f t="shared" si="447"/>
        <v>0.17690286981165473</v>
      </c>
      <c r="BD148" s="5" t="s">
        <v>53</v>
      </c>
      <c r="BE148" s="3">
        <f t="shared" ref="BE148:BK148" si="448">BE91/$E$22</f>
        <v>6.9527897557328022E-2</v>
      </c>
      <c r="BF148" s="3">
        <f t="shared" si="448"/>
        <v>7.3805264286025754E-2</v>
      </c>
      <c r="BG148" s="3">
        <f t="shared" si="448"/>
        <v>9.3174032418396863E-2</v>
      </c>
      <c r="BH148" s="3">
        <f t="shared" si="448"/>
        <v>8.1526927902165439E-2</v>
      </c>
      <c r="BI148" s="3">
        <f t="shared" si="448"/>
        <v>0.15177068076151382</v>
      </c>
      <c r="BJ148" s="3">
        <f t="shared" si="448"/>
        <v>9.0056448377536041E-2</v>
      </c>
      <c r="BK148" s="10">
        <f t="shared" si="448"/>
        <v>0.24721844639478427</v>
      </c>
      <c r="BM148" s="5" t="s">
        <v>53</v>
      </c>
      <c r="BN148" s="3">
        <f t="shared" ref="BN148:BT148" si="449">BN91/$E$22</f>
        <v>0.11928019067796609</v>
      </c>
      <c r="BO148" s="3">
        <f t="shared" si="449"/>
        <v>0.12661832597219058</v>
      </c>
      <c r="BP148" s="3">
        <f t="shared" si="449"/>
        <v>0.15984686354046113</v>
      </c>
      <c r="BQ148" s="3">
        <f t="shared" si="449"/>
        <v>0.1398654043514099</v>
      </c>
      <c r="BR148" s="3">
        <f t="shared" si="449"/>
        <v>0.26037369712828407</v>
      </c>
      <c r="BS148" s="3">
        <f t="shared" si="449"/>
        <v>0.15449842022615196</v>
      </c>
      <c r="BT148" s="10">
        <f t="shared" si="449"/>
        <v>0.42412131620643895</v>
      </c>
    </row>
    <row r="149" spans="2:72" ht="15.75" thickBot="1" x14ac:dyDescent="0.3">
      <c r="B149" s="6" t="s">
        <v>54</v>
      </c>
      <c r="C149" s="11">
        <f t="shared" si="421"/>
        <v>2.2353872382851447</v>
      </c>
      <c r="D149" s="11">
        <f t="shared" si="421"/>
        <v>2.3729085978360009</v>
      </c>
      <c r="E149" s="11">
        <f t="shared" si="421"/>
        <v>2.9956326931346808</v>
      </c>
      <c r="F149" s="11">
        <f t="shared" si="421"/>
        <v>2.6211673387481245</v>
      </c>
      <c r="G149" s="11">
        <f t="shared" si="421"/>
        <v>4.8795699976459179</v>
      </c>
      <c r="H149" s="11">
        <f t="shared" si="421"/>
        <v>2.8953994367863847</v>
      </c>
      <c r="I149" s="12">
        <f t="shared" si="421"/>
        <v>7.94830535014985</v>
      </c>
      <c r="K149" s="6" t="s">
        <v>54</v>
      </c>
      <c r="L149" s="11">
        <f t="shared" ref="L149:R149" si="450">L92/$E$22</f>
        <v>1.1891115653040878</v>
      </c>
      <c r="M149" s="11">
        <f t="shared" si="450"/>
        <v>1.2622658878829862</v>
      </c>
      <c r="N149" s="11">
        <f t="shared" si="450"/>
        <v>1.593523224880778</v>
      </c>
      <c r="O149" s="11">
        <f t="shared" si="450"/>
        <v>1.3943268279073655</v>
      </c>
      <c r="P149" s="11">
        <f t="shared" si="450"/>
        <v>2.5956814186533603</v>
      </c>
      <c r="Q149" s="11">
        <f t="shared" si="450"/>
        <v>1.5402042641608973</v>
      </c>
      <c r="R149" s="12">
        <f t="shared" si="450"/>
        <v>4.2280915156705055</v>
      </c>
      <c r="T149" s="6" t="s">
        <v>54</v>
      </c>
      <c r="U149" s="11">
        <f t="shared" ref="U149:AA149" si="451">U92/$E$22</f>
        <v>0.10066450648055833</v>
      </c>
      <c r="V149" s="11">
        <f t="shared" si="451"/>
        <v>0.10685740207941763</v>
      </c>
      <c r="W149" s="11">
        <f t="shared" si="451"/>
        <v>0.13490006630026327</v>
      </c>
      <c r="X149" s="11">
        <f t="shared" si="451"/>
        <v>0.11803705060088597</v>
      </c>
      <c r="Y149" s="11">
        <f t="shared" si="451"/>
        <v>0.21973799314841949</v>
      </c>
      <c r="Z149" s="11">
        <f t="shared" si="451"/>
        <v>0.1303863377120206</v>
      </c>
      <c r="AA149" s="12">
        <f t="shared" si="451"/>
        <v>0.35793003633831882</v>
      </c>
      <c r="AC149" s="6" t="s">
        <v>54</v>
      </c>
      <c r="AD149" s="11">
        <f t="shared" ref="AD149:AJ149" si="452">AD92/$E$22</f>
        <v>0.12094930209371885</v>
      </c>
      <c r="AE149" s="11">
        <f t="shared" si="452"/>
        <v>0.12839012137361028</v>
      </c>
      <c r="AF149" s="11">
        <f t="shared" si="452"/>
        <v>0.1620836324724288</v>
      </c>
      <c r="AG149" s="11">
        <f t="shared" si="452"/>
        <v>0.14182256875351992</v>
      </c>
      <c r="AH149" s="11">
        <f t="shared" si="452"/>
        <v>0.26401715802290898</v>
      </c>
      <c r="AI149" s="11">
        <f t="shared" si="452"/>
        <v>0.15666034732778991</v>
      </c>
      <c r="AJ149" s="12">
        <f t="shared" si="452"/>
        <v>0.43005613008056714</v>
      </c>
      <c r="AK149" s="3"/>
      <c r="AL149" s="6" t="s">
        <v>54</v>
      </c>
      <c r="AM149" s="11">
        <f t="shared" ref="AM149:AS149" si="453">AM92/$E$22</f>
        <v>0.2216138085742772</v>
      </c>
      <c r="AN149" s="11">
        <f t="shared" si="453"/>
        <v>0.23524752345302796</v>
      </c>
      <c r="AO149" s="11">
        <f t="shared" si="453"/>
        <v>0.2969836987726921</v>
      </c>
      <c r="AP149" s="11">
        <f t="shared" si="453"/>
        <v>0.25985961935440594</v>
      </c>
      <c r="AQ149" s="11">
        <f t="shared" si="453"/>
        <v>0.4837551511713285</v>
      </c>
      <c r="AR149" s="11">
        <f t="shared" si="453"/>
        <v>0.28704668503981051</v>
      </c>
      <c r="AS149" s="12">
        <f t="shared" si="453"/>
        <v>0.78798616641888597</v>
      </c>
      <c r="AU149" s="6" t="s">
        <v>54</v>
      </c>
      <c r="AV149" s="11">
        <f t="shared" ref="AV149:BB149" si="454">AV92/$E$22</f>
        <v>6.6336390827517466E-2</v>
      </c>
      <c r="AW149" s="11">
        <f t="shared" si="454"/>
        <v>7.0417415581553136E-2</v>
      </c>
      <c r="AX149" s="11">
        <f t="shared" si="454"/>
        <v>8.8897108162752383E-2</v>
      </c>
      <c r="AY149" s="11">
        <f t="shared" si="454"/>
        <v>7.7784635265659305E-2</v>
      </c>
      <c r="AZ149" s="11">
        <f t="shared" si="454"/>
        <v>0.14480402182236041</v>
      </c>
      <c r="BA149" s="11">
        <f t="shared" si="454"/>
        <v>8.5922629131487932E-2</v>
      </c>
      <c r="BB149" s="12">
        <f t="shared" si="454"/>
        <v>0.23587049308220626</v>
      </c>
      <c r="BD149" s="6" t="s">
        <v>54</v>
      </c>
      <c r="BE149" s="11">
        <f t="shared" ref="BE149:BK149" si="455">BE92/$E$22</f>
        <v>9.2703863409770687E-2</v>
      </c>
      <c r="BF149" s="11">
        <f t="shared" si="455"/>
        <v>9.8407019048034325E-2</v>
      </c>
      <c r="BG149" s="11">
        <f t="shared" si="455"/>
        <v>0.12423204322452915</v>
      </c>
      <c r="BH149" s="11">
        <f t="shared" si="455"/>
        <v>0.10870257053622057</v>
      </c>
      <c r="BI149" s="11">
        <f t="shared" si="455"/>
        <v>0.20236090768201839</v>
      </c>
      <c r="BJ149" s="11">
        <f t="shared" si="455"/>
        <v>0.12007526450338137</v>
      </c>
      <c r="BK149" s="12">
        <f t="shared" si="455"/>
        <v>0.32962459519304571</v>
      </c>
      <c r="BM149" s="6" t="s">
        <v>54</v>
      </c>
      <c r="BN149" s="11">
        <f t="shared" ref="BN149:BT149" si="456">BN92/$E$22</f>
        <v>0.15904025423728813</v>
      </c>
      <c r="BO149" s="11">
        <f t="shared" si="456"/>
        <v>0.16882443462958743</v>
      </c>
      <c r="BP149" s="11">
        <f t="shared" si="456"/>
        <v>0.21312915138728147</v>
      </c>
      <c r="BQ149" s="11">
        <f t="shared" si="456"/>
        <v>0.18648720580187983</v>
      </c>
      <c r="BR149" s="11">
        <f t="shared" si="456"/>
        <v>0.34716492950437877</v>
      </c>
      <c r="BS149" s="11">
        <f t="shared" si="456"/>
        <v>0.20599789363486926</v>
      </c>
      <c r="BT149" s="12">
        <f t="shared" si="456"/>
        <v>0.56549508827525186</v>
      </c>
    </row>
    <row r="150" spans="2:72" ht="15.75" thickBot="1" x14ac:dyDescent="0.3">
      <c r="L150" s="3"/>
      <c r="M150" s="3"/>
      <c r="N150" s="3"/>
      <c r="O150" s="3"/>
      <c r="P150" s="3"/>
      <c r="Q150" s="3"/>
      <c r="R150" s="3"/>
      <c r="U150" s="3"/>
      <c r="V150" s="3"/>
      <c r="W150" s="3"/>
      <c r="X150" s="3"/>
      <c r="Y150" s="3"/>
      <c r="Z150" s="3"/>
      <c r="AA150" s="3"/>
      <c r="AD150" s="3"/>
      <c r="AE150" s="3"/>
      <c r="AF150" s="3"/>
      <c r="AG150" s="3"/>
      <c r="AH150" s="3"/>
      <c r="AI150" s="3"/>
      <c r="AJ150" s="3"/>
      <c r="AK150" s="3"/>
      <c r="AM150" s="3"/>
      <c r="AN150" s="3"/>
      <c r="AO150" s="3"/>
      <c r="AP150" s="3"/>
      <c r="AQ150" s="3"/>
      <c r="AR150" s="3"/>
      <c r="AS150" s="3"/>
      <c r="AV150" s="3"/>
      <c r="AW150" s="3"/>
      <c r="AX150" s="3"/>
      <c r="AY150" s="3"/>
      <c r="AZ150" s="3"/>
      <c r="BA150" s="3"/>
      <c r="BB150" s="3"/>
      <c r="BE150" s="3"/>
      <c r="BF150" s="3"/>
      <c r="BG150" s="3"/>
      <c r="BH150" s="3"/>
      <c r="BI150" s="3"/>
      <c r="BJ150" s="3"/>
      <c r="BK150" s="3"/>
      <c r="BN150" s="3"/>
      <c r="BO150" s="3"/>
      <c r="BP150" s="3"/>
      <c r="BQ150" s="3"/>
      <c r="BR150" s="3"/>
      <c r="BS150" s="3"/>
      <c r="BT150" s="3"/>
    </row>
    <row r="151" spans="2:72" ht="15.75" thickBot="1" x14ac:dyDescent="0.3">
      <c r="B151" s="34" t="s">
        <v>61</v>
      </c>
      <c r="C151" s="35"/>
      <c r="D151" s="35"/>
      <c r="E151" s="35"/>
      <c r="F151" s="35"/>
      <c r="G151" s="35"/>
      <c r="H151" s="35"/>
      <c r="I151" s="36"/>
      <c r="K151" s="49" t="s">
        <v>61</v>
      </c>
      <c r="L151" s="50"/>
      <c r="M151" s="50"/>
      <c r="N151" s="50"/>
      <c r="O151" s="50"/>
      <c r="P151" s="50"/>
      <c r="Q151" s="50"/>
      <c r="R151" s="51"/>
      <c r="T151" s="52" t="s">
        <v>61</v>
      </c>
      <c r="U151" s="53"/>
      <c r="V151" s="53"/>
      <c r="W151" s="53"/>
      <c r="X151" s="53"/>
      <c r="Y151" s="53"/>
      <c r="Z151" s="53"/>
      <c r="AA151" s="54"/>
      <c r="AC151" s="52" t="s">
        <v>61</v>
      </c>
      <c r="AD151" s="53"/>
      <c r="AE151" s="53"/>
      <c r="AF151" s="53"/>
      <c r="AG151" s="53"/>
      <c r="AH151" s="53"/>
      <c r="AI151" s="53"/>
      <c r="AJ151" s="54"/>
      <c r="AK151" s="3"/>
      <c r="AL151" s="52" t="s">
        <v>61</v>
      </c>
      <c r="AM151" s="53"/>
      <c r="AN151" s="53"/>
      <c r="AO151" s="53"/>
      <c r="AP151" s="53"/>
      <c r="AQ151" s="53"/>
      <c r="AR151" s="53"/>
      <c r="AS151" s="54"/>
      <c r="AU151" s="45" t="s">
        <v>61</v>
      </c>
      <c r="AV151" s="46"/>
      <c r="AW151" s="46"/>
      <c r="AX151" s="46"/>
      <c r="AY151" s="46"/>
      <c r="AZ151" s="46"/>
      <c r="BA151" s="46"/>
      <c r="BB151" s="47"/>
      <c r="BD151" s="45" t="s">
        <v>61</v>
      </c>
      <c r="BE151" s="46"/>
      <c r="BF151" s="46"/>
      <c r="BG151" s="46"/>
      <c r="BH151" s="46"/>
      <c r="BI151" s="46"/>
      <c r="BJ151" s="46"/>
      <c r="BK151" s="47"/>
      <c r="BM151" s="45" t="s">
        <v>61</v>
      </c>
      <c r="BN151" s="46"/>
      <c r="BO151" s="46"/>
      <c r="BP151" s="46"/>
      <c r="BQ151" s="46"/>
      <c r="BR151" s="46"/>
      <c r="BS151" s="46"/>
      <c r="BT151" s="47"/>
    </row>
    <row r="152" spans="2:72" x14ac:dyDescent="0.25">
      <c r="B152" s="7" t="s">
        <v>44</v>
      </c>
      <c r="C152" s="325" t="s">
        <v>63</v>
      </c>
      <c r="D152" s="325"/>
      <c r="E152" s="325"/>
      <c r="F152" s="325"/>
      <c r="G152" s="325"/>
      <c r="H152" s="325"/>
      <c r="I152" s="326"/>
      <c r="K152" s="7" t="s">
        <v>44</v>
      </c>
      <c r="L152" s="325" t="s">
        <v>63</v>
      </c>
      <c r="M152" s="325"/>
      <c r="N152" s="325"/>
      <c r="O152" s="325"/>
      <c r="P152" s="325"/>
      <c r="Q152" s="325"/>
      <c r="R152" s="326"/>
      <c r="T152" s="7" t="s">
        <v>44</v>
      </c>
      <c r="U152" s="325" t="s">
        <v>63</v>
      </c>
      <c r="V152" s="325"/>
      <c r="W152" s="325"/>
      <c r="X152" s="325"/>
      <c r="Y152" s="325"/>
      <c r="Z152" s="325"/>
      <c r="AA152" s="326"/>
      <c r="AC152" s="7" t="s">
        <v>44</v>
      </c>
      <c r="AD152" s="325" t="s">
        <v>63</v>
      </c>
      <c r="AE152" s="325"/>
      <c r="AF152" s="325"/>
      <c r="AG152" s="325"/>
      <c r="AH152" s="325"/>
      <c r="AI152" s="325"/>
      <c r="AJ152" s="326"/>
      <c r="AK152" s="3"/>
      <c r="AL152" s="7" t="s">
        <v>44</v>
      </c>
      <c r="AM152" s="325" t="s">
        <v>63</v>
      </c>
      <c r="AN152" s="325"/>
      <c r="AO152" s="325"/>
      <c r="AP152" s="325"/>
      <c r="AQ152" s="325"/>
      <c r="AR152" s="325"/>
      <c r="AS152" s="326"/>
      <c r="AU152" s="7" t="s">
        <v>44</v>
      </c>
      <c r="AV152" s="325" t="s">
        <v>63</v>
      </c>
      <c r="AW152" s="325"/>
      <c r="AX152" s="325"/>
      <c r="AY152" s="325"/>
      <c r="AZ152" s="325"/>
      <c r="BA152" s="325"/>
      <c r="BB152" s="326"/>
      <c r="BD152" s="7" t="s">
        <v>44</v>
      </c>
      <c r="BE152" s="325" t="s">
        <v>63</v>
      </c>
      <c r="BF152" s="325"/>
      <c r="BG152" s="325"/>
      <c r="BH152" s="325"/>
      <c r="BI152" s="325"/>
      <c r="BJ152" s="325"/>
      <c r="BK152" s="326"/>
      <c r="BM152" s="7" t="s">
        <v>44</v>
      </c>
      <c r="BN152" s="325" t="s">
        <v>63</v>
      </c>
      <c r="BO152" s="325"/>
      <c r="BP152" s="325"/>
      <c r="BQ152" s="325"/>
      <c r="BR152" s="325"/>
      <c r="BS152" s="325"/>
      <c r="BT152" s="326"/>
    </row>
    <row r="153" spans="2:72" x14ac:dyDescent="0.25">
      <c r="B153" s="5"/>
      <c r="C153" s="3" t="s">
        <v>46</v>
      </c>
      <c r="I153" s="10"/>
      <c r="K153" s="5"/>
      <c r="L153" s="3" t="s">
        <v>46</v>
      </c>
      <c r="M153" s="3"/>
      <c r="N153" s="3"/>
      <c r="O153" s="3"/>
      <c r="P153" s="3"/>
      <c r="Q153" s="3"/>
      <c r="R153" s="10"/>
      <c r="T153" s="5"/>
      <c r="U153" s="3" t="s">
        <v>46</v>
      </c>
      <c r="V153" s="3"/>
      <c r="W153" s="3"/>
      <c r="X153" s="3"/>
      <c r="Y153" s="3"/>
      <c r="Z153" s="3"/>
      <c r="AA153" s="10"/>
      <c r="AC153" s="5"/>
      <c r="AD153" s="3" t="s">
        <v>46</v>
      </c>
      <c r="AE153" s="3"/>
      <c r="AF153" s="3"/>
      <c r="AG153" s="3"/>
      <c r="AH153" s="3"/>
      <c r="AI153" s="3"/>
      <c r="AJ153" s="10"/>
      <c r="AK153" s="3"/>
      <c r="AL153" s="5"/>
      <c r="AM153" s="3" t="s">
        <v>46</v>
      </c>
      <c r="AN153" s="3"/>
      <c r="AO153" s="3"/>
      <c r="AP153" s="3"/>
      <c r="AQ153" s="3"/>
      <c r="AR153" s="3"/>
      <c r="AS153" s="10"/>
      <c r="AU153" s="5"/>
      <c r="AV153" s="3" t="s">
        <v>46</v>
      </c>
      <c r="AW153" s="3"/>
      <c r="AX153" s="3"/>
      <c r="AY153" s="3"/>
      <c r="AZ153" s="3"/>
      <c r="BA153" s="3"/>
      <c r="BB153" s="10"/>
      <c r="BD153" s="5"/>
      <c r="BE153" s="3" t="s">
        <v>46</v>
      </c>
      <c r="BF153" s="3"/>
      <c r="BG153" s="3"/>
      <c r="BH153" s="3"/>
      <c r="BI153" s="3"/>
      <c r="BJ153" s="3"/>
      <c r="BK153" s="10"/>
      <c r="BM153" s="5"/>
      <c r="BN153" s="3" t="s">
        <v>46</v>
      </c>
      <c r="BO153" s="3"/>
      <c r="BP153" s="3"/>
      <c r="BQ153" s="3"/>
      <c r="BR153" s="3"/>
      <c r="BS153" s="3"/>
      <c r="BT153" s="10"/>
    </row>
    <row r="154" spans="2:72" ht="15.75" thickBot="1" x14ac:dyDescent="0.3">
      <c r="B154" s="6"/>
      <c r="C154" s="11"/>
      <c r="D154" s="11" t="s">
        <v>47</v>
      </c>
      <c r="E154" s="11" t="s">
        <v>48</v>
      </c>
      <c r="F154" s="11" t="s">
        <v>47</v>
      </c>
      <c r="G154" s="11" t="s">
        <v>48</v>
      </c>
      <c r="H154" s="11" t="s">
        <v>47</v>
      </c>
      <c r="I154" s="12" t="s">
        <v>48</v>
      </c>
      <c r="K154" s="6"/>
      <c r="L154" s="11"/>
      <c r="M154" s="11" t="s">
        <v>47</v>
      </c>
      <c r="N154" s="11" t="s">
        <v>48</v>
      </c>
      <c r="O154" s="11" t="s">
        <v>47</v>
      </c>
      <c r="P154" s="11" t="s">
        <v>48</v>
      </c>
      <c r="Q154" s="11" t="s">
        <v>47</v>
      </c>
      <c r="R154" s="12" t="s">
        <v>48</v>
      </c>
      <c r="T154" s="6"/>
      <c r="U154" s="11"/>
      <c r="V154" s="11" t="s">
        <v>47</v>
      </c>
      <c r="W154" s="11" t="s">
        <v>48</v>
      </c>
      <c r="X154" s="11" t="s">
        <v>47</v>
      </c>
      <c r="Y154" s="11" t="s">
        <v>48</v>
      </c>
      <c r="Z154" s="11" t="s">
        <v>47</v>
      </c>
      <c r="AA154" s="12" t="s">
        <v>48</v>
      </c>
      <c r="AC154" s="6"/>
      <c r="AD154" s="11"/>
      <c r="AE154" s="11" t="s">
        <v>47</v>
      </c>
      <c r="AF154" s="11" t="s">
        <v>48</v>
      </c>
      <c r="AG154" s="11" t="s">
        <v>47</v>
      </c>
      <c r="AH154" s="11" t="s">
        <v>48</v>
      </c>
      <c r="AI154" s="11" t="s">
        <v>47</v>
      </c>
      <c r="AJ154" s="12" t="s">
        <v>48</v>
      </c>
      <c r="AK154" s="3"/>
      <c r="AL154" s="6"/>
      <c r="AM154" s="11"/>
      <c r="AN154" s="11" t="s">
        <v>47</v>
      </c>
      <c r="AO154" s="11" t="s">
        <v>48</v>
      </c>
      <c r="AP154" s="11" t="s">
        <v>47</v>
      </c>
      <c r="AQ154" s="11" t="s">
        <v>48</v>
      </c>
      <c r="AR154" s="11" t="s">
        <v>47</v>
      </c>
      <c r="AS154" s="12" t="s">
        <v>48</v>
      </c>
      <c r="AU154" s="6"/>
      <c r="AV154" s="11"/>
      <c r="AW154" s="11" t="s">
        <v>47</v>
      </c>
      <c r="AX154" s="11" t="s">
        <v>48</v>
      </c>
      <c r="AY154" s="11" t="s">
        <v>47</v>
      </c>
      <c r="AZ154" s="11" t="s">
        <v>48</v>
      </c>
      <c r="BA154" s="11" t="s">
        <v>47</v>
      </c>
      <c r="BB154" s="12" t="s">
        <v>48</v>
      </c>
      <c r="BD154" s="6"/>
      <c r="BE154" s="11"/>
      <c r="BF154" s="11" t="s">
        <v>47</v>
      </c>
      <c r="BG154" s="11" t="s">
        <v>48</v>
      </c>
      <c r="BH154" s="11" t="s">
        <v>47</v>
      </c>
      <c r="BI154" s="11" t="s">
        <v>48</v>
      </c>
      <c r="BJ154" s="11" t="s">
        <v>47</v>
      </c>
      <c r="BK154" s="12" t="s">
        <v>48</v>
      </c>
      <c r="BM154" s="6"/>
      <c r="BN154" s="11"/>
      <c r="BO154" s="11" t="s">
        <v>47</v>
      </c>
      <c r="BP154" s="11" t="s">
        <v>48</v>
      </c>
      <c r="BQ154" s="11" t="s">
        <v>47</v>
      </c>
      <c r="BR154" s="11" t="s">
        <v>48</v>
      </c>
      <c r="BS154" s="11" t="s">
        <v>47</v>
      </c>
      <c r="BT154" s="12" t="s">
        <v>48</v>
      </c>
    </row>
    <row r="155" spans="2:72" x14ac:dyDescent="0.25">
      <c r="B155" s="5" t="s">
        <v>49</v>
      </c>
      <c r="C155" s="3">
        <f>C98/$E$23</f>
        <v>0.11581060950413224</v>
      </c>
      <c r="D155" s="3">
        <f t="shared" ref="D155:I155" si="457">D98/$E$23</f>
        <v>0.12293529564202006</v>
      </c>
      <c r="E155" s="3">
        <f t="shared" si="457"/>
        <v>0.15519729293461182</v>
      </c>
      <c r="F155" s="3">
        <f t="shared" si="457"/>
        <v>0.13579704756014299</v>
      </c>
      <c r="G155" s="3">
        <f t="shared" si="457"/>
        <v>0.25280003655159378</v>
      </c>
      <c r="H155" s="3">
        <f t="shared" si="457"/>
        <v>0.15000442330045163</v>
      </c>
      <c r="I155" s="10">
        <f t="shared" si="457"/>
        <v>0.41178462118803194</v>
      </c>
      <c r="K155" s="5" t="s">
        <v>49</v>
      </c>
      <c r="L155" s="3">
        <f>L98/$E$23</f>
        <v>6.1605315082644628E-2</v>
      </c>
      <c r="M155" s="3">
        <f t="shared" ref="M155:R155" si="458">M98/$E$23</f>
        <v>6.5395283344350991E-2</v>
      </c>
      <c r="N155" s="3">
        <f t="shared" si="458"/>
        <v>8.2557014181581623E-2</v>
      </c>
      <c r="O155" s="3">
        <f t="shared" si="458"/>
        <v>7.2237076879704931E-2</v>
      </c>
      <c r="P155" s="3">
        <f t="shared" si="458"/>
        <v>0.13447667680316736</v>
      </c>
      <c r="Q155" s="3">
        <f t="shared" si="458"/>
        <v>7.9794673396352267E-2</v>
      </c>
      <c r="R155" s="10">
        <f t="shared" si="458"/>
        <v>0.21904833627156595</v>
      </c>
      <c r="T155" s="5" t="s">
        <v>49</v>
      </c>
      <c r="U155" s="3">
        <f>U98/$E$23</f>
        <v>5.2152117768595047E-3</v>
      </c>
      <c r="V155" s="3">
        <f t="shared" ref="V155:AA155" si="459">V98/$E$23</f>
        <v>5.536052390788011E-3</v>
      </c>
      <c r="W155" s="3">
        <f t="shared" si="459"/>
        <v>6.9888825671055831E-3</v>
      </c>
      <c r="X155" s="3">
        <f t="shared" si="459"/>
        <v>6.115245958300034E-3</v>
      </c>
      <c r="Y155" s="3">
        <f t="shared" si="459"/>
        <v>1.1384153260736817E-2</v>
      </c>
      <c r="Z155" s="3">
        <f t="shared" si="459"/>
        <v>6.7550359878696632E-3</v>
      </c>
      <c r="AA155" s="10">
        <f t="shared" si="459"/>
        <v>1.8543586076825092E-2</v>
      </c>
      <c r="AC155" s="5" t="s">
        <v>49</v>
      </c>
      <c r="AD155" s="3">
        <f>AD98/$E$23</f>
        <v>6.2661234504132243E-3</v>
      </c>
      <c r="AE155" s="3">
        <f t="shared" ref="AE155:AJ155" si="460">AE98/$E$23</f>
        <v>6.6516163087671047E-3</v>
      </c>
      <c r="AF155" s="3">
        <f t="shared" si="460"/>
        <v>8.3972047195168438E-3</v>
      </c>
      <c r="AG155" s="3">
        <f t="shared" si="460"/>
        <v>7.3475225444101511E-3</v>
      </c>
      <c r="AH155" s="3">
        <f t="shared" si="460"/>
        <v>1.3678161647571163E-2</v>
      </c>
      <c r="AI155" s="3">
        <f t="shared" si="460"/>
        <v>8.1162359695130838E-3</v>
      </c>
      <c r="AJ155" s="10">
        <f t="shared" si="460"/>
        <v>2.2280284011921947E-2</v>
      </c>
      <c r="AK155" s="3"/>
      <c r="AL155" s="5" t="s">
        <v>49</v>
      </c>
      <c r="AM155" s="3">
        <f>AM98/$E$23</f>
        <v>1.1481335227272729E-2</v>
      </c>
      <c r="AN155" s="3">
        <f t="shared" ref="AN155:AS155" si="461">AN98/$E$23</f>
        <v>1.2187668699555114E-2</v>
      </c>
      <c r="AO155" s="3">
        <f t="shared" si="461"/>
        <v>1.5386087286622425E-2</v>
      </c>
      <c r="AP155" s="3">
        <f t="shared" si="461"/>
        <v>1.3462768502710182E-2</v>
      </c>
      <c r="AQ155" s="3">
        <f t="shared" si="461"/>
        <v>2.506231490830798E-2</v>
      </c>
      <c r="AR155" s="3">
        <f t="shared" si="461"/>
        <v>1.4871271957382744E-2</v>
      </c>
      <c r="AS155" s="10">
        <f t="shared" si="461"/>
        <v>4.0823870088747036E-2</v>
      </c>
      <c r="AU155" s="5" t="s">
        <v>49</v>
      </c>
      <c r="AV155" s="3">
        <f>AV98/$E$23</f>
        <v>3.4367458677685959E-3</v>
      </c>
      <c r="AW155" s="3">
        <f t="shared" ref="AW155:BB155" si="462">AW98/$E$23</f>
        <v>3.6481749911310849E-3</v>
      </c>
      <c r="AX155" s="3">
        <f t="shared" si="462"/>
        <v>4.6055681553326781E-3</v>
      </c>
      <c r="AY155" s="3">
        <f t="shared" si="462"/>
        <v>4.0298548125752218E-3</v>
      </c>
      <c r="AZ155" s="3">
        <f t="shared" si="462"/>
        <v>7.501985221478694E-3</v>
      </c>
      <c r="BA155" s="3">
        <f t="shared" si="462"/>
        <v>4.4514667881654134E-3</v>
      </c>
      <c r="BB155" s="10">
        <f t="shared" si="462"/>
        <v>1.2219943417430419E-2</v>
      </c>
      <c r="BD155" s="5" t="s">
        <v>49</v>
      </c>
      <c r="BE155" s="3">
        <f>BE98/$E$23</f>
        <v>4.8027879648760326E-3</v>
      </c>
      <c r="BF155" s="3">
        <f t="shared" ref="BF155:BK155" si="463">BF98/$E$23</f>
        <v>5.0982562037798773E-3</v>
      </c>
      <c r="BG155" s="3">
        <f t="shared" si="463"/>
        <v>6.436195214576587E-3</v>
      </c>
      <c r="BH155" s="3">
        <f t="shared" si="463"/>
        <v>5.6316466037101883E-3</v>
      </c>
      <c r="BI155" s="3">
        <f t="shared" si="463"/>
        <v>1.0483883801914487E-2</v>
      </c>
      <c r="BJ155" s="3">
        <f t="shared" si="463"/>
        <v>6.22084144095514E-3</v>
      </c>
      <c r="BK155" s="10">
        <f t="shared" si="463"/>
        <v>1.7077141992697564E-2</v>
      </c>
      <c r="BM155" s="5" t="s">
        <v>49</v>
      </c>
      <c r="BN155" s="3">
        <f>BN98/$E$23</f>
        <v>8.2395338326446289E-3</v>
      </c>
      <c r="BO155" s="3">
        <f t="shared" ref="BO155:BT155" si="464">BO98/$E$23</f>
        <v>8.7464311949109613E-3</v>
      </c>
      <c r="BP155" s="3">
        <f t="shared" si="464"/>
        <v>1.1041763369909266E-2</v>
      </c>
      <c r="BQ155" s="3">
        <f t="shared" si="464"/>
        <v>9.6615014162854083E-3</v>
      </c>
      <c r="BR155" s="3">
        <f t="shared" si="464"/>
        <v>1.7985869023393181E-2</v>
      </c>
      <c r="BS155" s="3">
        <f t="shared" si="464"/>
        <v>1.0672308229120554E-2</v>
      </c>
      <c r="BT155" s="10">
        <f t="shared" si="464"/>
        <v>2.9297085410127984E-2</v>
      </c>
    </row>
    <row r="156" spans="2:72" x14ac:dyDescent="0.25">
      <c r="B156" s="5" t="s">
        <v>50</v>
      </c>
      <c r="C156" s="3">
        <f t="shared" ref="C156:I160" si="465">C99/$E$23</f>
        <v>0.23162121900826449</v>
      </c>
      <c r="D156" s="3">
        <f t="shared" si="465"/>
        <v>0.24587059128404012</v>
      </c>
      <c r="E156" s="3">
        <f t="shared" si="465"/>
        <v>0.31039458586922364</v>
      </c>
      <c r="F156" s="3">
        <f t="shared" si="465"/>
        <v>0.27159409512028598</v>
      </c>
      <c r="G156" s="3">
        <f t="shared" si="465"/>
        <v>0.50560007310318755</v>
      </c>
      <c r="H156" s="3">
        <f t="shared" si="465"/>
        <v>0.30000884660090327</v>
      </c>
      <c r="I156" s="10">
        <f t="shared" si="465"/>
        <v>0.82356924237606388</v>
      </c>
      <c r="K156" s="5" t="s">
        <v>50</v>
      </c>
      <c r="L156" s="3">
        <f t="shared" ref="L156:R156" si="466">L99/$E$23</f>
        <v>0.12321063016528926</v>
      </c>
      <c r="M156" s="3">
        <f t="shared" si="466"/>
        <v>0.13079056668870198</v>
      </c>
      <c r="N156" s="3">
        <f t="shared" si="466"/>
        <v>0.16511402836316325</v>
      </c>
      <c r="O156" s="3">
        <f t="shared" si="466"/>
        <v>0.14447415375940986</v>
      </c>
      <c r="P156" s="3">
        <f t="shared" si="466"/>
        <v>0.26895335360633471</v>
      </c>
      <c r="Q156" s="3">
        <f t="shared" si="466"/>
        <v>0.15958934679270453</v>
      </c>
      <c r="R156" s="10">
        <f t="shared" si="466"/>
        <v>0.43809667254313189</v>
      </c>
      <c r="T156" s="5" t="s">
        <v>50</v>
      </c>
      <c r="U156" s="3">
        <f t="shared" ref="U156:AA156" si="467">U99/$E$23</f>
        <v>1.0430423553719009E-2</v>
      </c>
      <c r="V156" s="3">
        <f t="shared" si="467"/>
        <v>1.1072104781576022E-2</v>
      </c>
      <c r="W156" s="3">
        <f t="shared" si="467"/>
        <v>1.3977765134211166E-2</v>
      </c>
      <c r="X156" s="3">
        <f t="shared" si="467"/>
        <v>1.2230491916600068E-2</v>
      </c>
      <c r="Y156" s="3">
        <f t="shared" si="467"/>
        <v>2.2768306521473634E-2</v>
      </c>
      <c r="Z156" s="3">
        <f t="shared" si="467"/>
        <v>1.3510071975739326E-2</v>
      </c>
      <c r="AA156" s="10">
        <f t="shared" si="467"/>
        <v>3.7087172153650184E-2</v>
      </c>
      <c r="AC156" s="5" t="s">
        <v>50</v>
      </c>
      <c r="AD156" s="3">
        <f t="shared" ref="AD156:AJ156" si="468">AD99/$E$23</f>
        <v>1.2532246900826449E-2</v>
      </c>
      <c r="AE156" s="3">
        <f t="shared" si="468"/>
        <v>1.3303232617534209E-2</v>
      </c>
      <c r="AF156" s="3">
        <f t="shared" si="468"/>
        <v>1.6794409439033688E-2</v>
      </c>
      <c r="AG156" s="3">
        <f t="shared" si="468"/>
        <v>1.4695045088820302E-2</v>
      </c>
      <c r="AH156" s="3">
        <f t="shared" si="468"/>
        <v>2.7356323295142326E-2</v>
      </c>
      <c r="AI156" s="3">
        <f t="shared" si="468"/>
        <v>1.6232471939026168E-2</v>
      </c>
      <c r="AJ156" s="10">
        <f t="shared" si="468"/>
        <v>4.4560568023843894E-2</v>
      </c>
      <c r="AK156" s="3"/>
      <c r="AL156" s="5" t="s">
        <v>50</v>
      </c>
      <c r="AM156" s="3">
        <f t="shared" ref="AM156:AS156" si="469">AM99/$E$23</f>
        <v>2.2962670454545458E-2</v>
      </c>
      <c r="AN156" s="3">
        <f t="shared" si="469"/>
        <v>2.4375337399110228E-2</v>
      </c>
      <c r="AO156" s="3">
        <f t="shared" si="469"/>
        <v>3.077217457324485E-2</v>
      </c>
      <c r="AP156" s="3">
        <f t="shared" si="469"/>
        <v>2.6925537005420365E-2</v>
      </c>
      <c r="AQ156" s="3">
        <f t="shared" si="469"/>
        <v>5.0124629816615959E-2</v>
      </c>
      <c r="AR156" s="3">
        <f t="shared" si="469"/>
        <v>2.9742543914765489E-2</v>
      </c>
      <c r="AS156" s="10">
        <f t="shared" si="469"/>
        <v>8.1647740177494071E-2</v>
      </c>
      <c r="AU156" s="5" t="s">
        <v>50</v>
      </c>
      <c r="AV156" s="3">
        <f t="shared" ref="AV156:BB156" si="470">AV99/$E$23</f>
        <v>6.8734917355371917E-3</v>
      </c>
      <c r="AW156" s="3">
        <f t="shared" si="470"/>
        <v>7.2963499822621698E-3</v>
      </c>
      <c r="AX156" s="3">
        <f t="shared" si="470"/>
        <v>9.2111363106653563E-3</v>
      </c>
      <c r="AY156" s="3">
        <f t="shared" si="470"/>
        <v>8.0597096251504435E-3</v>
      </c>
      <c r="AZ156" s="3">
        <f t="shared" si="470"/>
        <v>1.5003970442957388E-2</v>
      </c>
      <c r="BA156" s="3">
        <f t="shared" si="470"/>
        <v>8.9029335763308268E-3</v>
      </c>
      <c r="BB156" s="10">
        <f t="shared" si="470"/>
        <v>2.4439886834860838E-2</v>
      </c>
      <c r="BD156" s="5" t="s">
        <v>50</v>
      </c>
      <c r="BE156" s="3">
        <f t="shared" ref="BE156:BK156" si="471">BE99/$E$23</f>
        <v>9.6055759297520651E-3</v>
      </c>
      <c r="BF156" s="3">
        <f t="shared" si="471"/>
        <v>1.0196512407559755E-2</v>
      </c>
      <c r="BG156" s="3">
        <f t="shared" si="471"/>
        <v>1.2872390429153174E-2</v>
      </c>
      <c r="BH156" s="3">
        <f t="shared" si="471"/>
        <v>1.1263293207420377E-2</v>
      </c>
      <c r="BI156" s="3">
        <f t="shared" si="471"/>
        <v>2.0967767603828975E-2</v>
      </c>
      <c r="BJ156" s="3">
        <f t="shared" si="471"/>
        <v>1.244168288191028E-2</v>
      </c>
      <c r="BK156" s="10">
        <f t="shared" si="471"/>
        <v>3.4154283985395127E-2</v>
      </c>
      <c r="BM156" s="5" t="s">
        <v>50</v>
      </c>
      <c r="BN156" s="3">
        <f t="shared" ref="BN156:BT156" si="472">BN99/$E$23</f>
        <v>1.6479067665289258E-2</v>
      </c>
      <c r="BO156" s="3">
        <f t="shared" si="472"/>
        <v>1.7492862389821923E-2</v>
      </c>
      <c r="BP156" s="3">
        <f t="shared" si="472"/>
        <v>2.2083526739818532E-2</v>
      </c>
      <c r="BQ156" s="3">
        <f t="shared" si="472"/>
        <v>1.9323002832570817E-2</v>
      </c>
      <c r="BR156" s="3">
        <f t="shared" si="472"/>
        <v>3.5971738046786363E-2</v>
      </c>
      <c r="BS156" s="3">
        <f t="shared" si="472"/>
        <v>2.1344616458241109E-2</v>
      </c>
      <c r="BT156" s="10">
        <f t="shared" si="472"/>
        <v>5.8594170820255968E-2</v>
      </c>
    </row>
    <row r="157" spans="2:72" x14ac:dyDescent="0.25">
      <c r="B157" s="5" t="s">
        <v>51</v>
      </c>
      <c r="C157" s="3">
        <f t="shared" si="465"/>
        <v>0.57905304752066122</v>
      </c>
      <c r="D157" s="3">
        <f t="shared" si="465"/>
        <v>0.6146764782101003</v>
      </c>
      <c r="E157" s="3">
        <f t="shared" si="465"/>
        <v>0.7759864646730591</v>
      </c>
      <c r="F157" s="3">
        <f t="shared" si="465"/>
        <v>0.67898523780071507</v>
      </c>
      <c r="G157" s="3">
        <f t="shared" si="465"/>
        <v>1.2640001827579688</v>
      </c>
      <c r="H157" s="3">
        <f t="shared" si="465"/>
        <v>0.75002211650225814</v>
      </c>
      <c r="I157" s="10">
        <f t="shared" si="465"/>
        <v>2.0589231059401598</v>
      </c>
      <c r="K157" s="5" t="s">
        <v>51</v>
      </c>
      <c r="L157" s="3">
        <f t="shared" ref="L157:R157" si="473">L100/$E$23</f>
        <v>0.30802657541322315</v>
      </c>
      <c r="M157" s="3">
        <f t="shared" si="473"/>
        <v>0.32697641672175493</v>
      </c>
      <c r="N157" s="3">
        <f t="shared" si="473"/>
        <v>0.41278507090790811</v>
      </c>
      <c r="O157" s="3">
        <f t="shared" si="473"/>
        <v>0.36118538439852471</v>
      </c>
      <c r="P157" s="3">
        <f t="shared" si="473"/>
        <v>0.67238338401583675</v>
      </c>
      <c r="Q157" s="3">
        <f t="shared" si="473"/>
        <v>0.39897336698176133</v>
      </c>
      <c r="R157" s="10">
        <f t="shared" si="473"/>
        <v>1.0952416813578296</v>
      </c>
      <c r="T157" s="5" t="s">
        <v>51</v>
      </c>
      <c r="U157" s="3">
        <f t="shared" ref="U157:AA157" si="474">U100/$E$23</f>
        <v>2.6076058884297523E-2</v>
      </c>
      <c r="V157" s="3">
        <f t="shared" si="474"/>
        <v>2.7680261953940053E-2</v>
      </c>
      <c r="W157" s="3">
        <f t="shared" si="474"/>
        <v>3.4944412835527912E-2</v>
      </c>
      <c r="X157" s="3">
        <f t="shared" si="474"/>
        <v>3.0576229791500164E-2</v>
      </c>
      <c r="Y157" s="3">
        <f t="shared" si="474"/>
        <v>5.6920766303684082E-2</v>
      </c>
      <c r="Z157" s="3">
        <f t="shared" si="474"/>
        <v>3.377517993934831E-2</v>
      </c>
      <c r="AA157" s="10">
        <f t="shared" si="474"/>
        <v>9.2717930384125458E-2</v>
      </c>
      <c r="AC157" s="5" t="s">
        <v>51</v>
      </c>
      <c r="AD157" s="3">
        <f t="shared" ref="AD157:AJ157" si="475">AD100/$E$23</f>
        <v>3.1330617252066116E-2</v>
      </c>
      <c r="AE157" s="3">
        <f t="shared" si="475"/>
        <v>3.325808154383552E-2</v>
      </c>
      <c r="AF157" s="3">
        <f t="shared" si="475"/>
        <v>4.1986023597584222E-2</v>
      </c>
      <c r="AG157" s="3">
        <f t="shared" si="475"/>
        <v>3.6737612722050748E-2</v>
      </c>
      <c r="AH157" s="3">
        <f t="shared" si="475"/>
        <v>6.8390808237855816E-2</v>
      </c>
      <c r="AI157" s="3">
        <f t="shared" si="475"/>
        <v>4.0581179847565416E-2</v>
      </c>
      <c r="AJ157" s="10">
        <f t="shared" si="475"/>
        <v>0.11140142005960973</v>
      </c>
      <c r="AK157" s="3"/>
      <c r="AL157" s="5" t="s">
        <v>51</v>
      </c>
      <c r="AM157" s="3">
        <f t="shared" ref="AM157:AS157" si="476">AM100/$E$23</f>
        <v>5.7406676136363639E-2</v>
      </c>
      <c r="AN157" s="3">
        <f t="shared" si="476"/>
        <v>6.0938343497775577E-2</v>
      </c>
      <c r="AO157" s="3">
        <f t="shared" si="476"/>
        <v>7.6930436433112134E-2</v>
      </c>
      <c r="AP157" s="3">
        <f t="shared" si="476"/>
        <v>6.7313842513550923E-2</v>
      </c>
      <c r="AQ157" s="3">
        <f t="shared" si="476"/>
        <v>0.12531157454153988</v>
      </c>
      <c r="AR157" s="3">
        <f t="shared" si="476"/>
        <v>7.4356359786913725E-2</v>
      </c>
      <c r="AS157" s="10">
        <f t="shared" si="476"/>
        <v>0.20411935044373516</v>
      </c>
      <c r="AU157" s="5" t="s">
        <v>51</v>
      </c>
      <c r="AV157" s="3">
        <f t="shared" ref="AV157:BB157" si="477">AV100/$E$23</f>
        <v>1.718372933884298E-2</v>
      </c>
      <c r="AW157" s="3">
        <f t="shared" si="477"/>
        <v>1.8240874955655424E-2</v>
      </c>
      <c r="AX157" s="3">
        <f t="shared" si="477"/>
        <v>2.3027840776663391E-2</v>
      </c>
      <c r="AY157" s="3">
        <f t="shared" si="477"/>
        <v>2.0149274062876109E-2</v>
      </c>
      <c r="AZ157" s="3">
        <f t="shared" si="477"/>
        <v>3.7509926107393461E-2</v>
      </c>
      <c r="BA157" s="3">
        <f t="shared" si="477"/>
        <v>2.2257333940827066E-2</v>
      </c>
      <c r="BB157" s="10">
        <f t="shared" si="477"/>
        <v>6.1099717087152089E-2</v>
      </c>
      <c r="BD157" s="5" t="s">
        <v>51</v>
      </c>
      <c r="BE157" s="3">
        <f t="shared" ref="BE157:BK157" si="478">BE100/$E$23</f>
        <v>2.4013939824380163E-2</v>
      </c>
      <c r="BF157" s="3">
        <f t="shared" si="478"/>
        <v>2.5491281018899387E-2</v>
      </c>
      <c r="BG157" s="3">
        <f t="shared" si="478"/>
        <v>3.2180976072882936E-2</v>
      </c>
      <c r="BH157" s="3">
        <f t="shared" si="478"/>
        <v>2.8158233018550936E-2</v>
      </c>
      <c r="BI157" s="3">
        <f t="shared" si="478"/>
        <v>5.2419419009572428E-2</v>
      </c>
      <c r="BJ157" s="3">
        <f t="shared" si="478"/>
        <v>3.1104207204775698E-2</v>
      </c>
      <c r="BK157" s="10">
        <f t="shared" si="478"/>
        <v>8.5385709963487808E-2</v>
      </c>
      <c r="BM157" s="5" t="s">
        <v>51</v>
      </c>
      <c r="BN157" s="3">
        <f t="shared" ref="BN157:BT157" si="479">BN100/$E$23</f>
        <v>4.1197669163223143E-2</v>
      </c>
      <c r="BO157" s="3">
        <f t="shared" si="479"/>
        <v>4.3732155974554814E-2</v>
      </c>
      <c r="BP157" s="3">
        <f t="shared" si="479"/>
        <v>5.520881684954633E-2</v>
      </c>
      <c r="BQ157" s="3">
        <f t="shared" si="479"/>
        <v>4.8307507081427045E-2</v>
      </c>
      <c r="BR157" s="3">
        <f t="shared" si="479"/>
        <v>8.9929345116965903E-2</v>
      </c>
      <c r="BS157" s="3">
        <f t="shared" si="479"/>
        <v>5.3361541145602771E-2</v>
      </c>
      <c r="BT157" s="10">
        <f t="shared" si="479"/>
        <v>0.14648542705063991</v>
      </c>
    </row>
    <row r="158" spans="2:72" x14ac:dyDescent="0.25">
      <c r="B158" s="5" t="s">
        <v>52</v>
      </c>
      <c r="C158" s="3">
        <f t="shared" si="465"/>
        <v>1.1581060950413224</v>
      </c>
      <c r="D158" s="3">
        <f t="shared" si="465"/>
        <v>1.2293529564202006</v>
      </c>
      <c r="E158" s="3">
        <f t="shared" si="465"/>
        <v>1.5519729293461182</v>
      </c>
      <c r="F158" s="3">
        <f t="shared" si="465"/>
        <v>1.3579704756014301</v>
      </c>
      <c r="G158" s="3">
        <f t="shared" si="465"/>
        <v>2.5280003655159375</v>
      </c>
      <c r="H158" s="3">
        <f t="shared" si="465"/>
        <v>1.5000442330045163</v>
      </c>
      <c r="I158" s="10">
        <f t="shared" si="465"/>
        <v>4.1178462118803196</v>
      </c>
      <c r="K158" s="5" t="s">
        <v>52</v>
      </c>
      <c r="L158" s="3">
        <f t="shared" ref="L158:R158" si="480">L101/$E$23</f>
        <v>0.61605315082644629</v>
      </c>
      <c r="M158" s="3">
        <f t="shared" si="480"/>
        <v>0.65395283344350985</v>
      </c>
      <c r="N158" s="3">
        <f t="shared" si="480"/>
        <v>0.82557014181581623</v>
      </c>
      <c r="O158" s="3">
        <f t="shared" si="480"/>
        <v>0.72237076879704942</v>
      </c>
      <c r="P158" s="3">
        <f t="shared" si="480"/>
        <v>1.3447667680316735</v>
      </c>
      <c r="Q158" s="3">
        <f t="shared" si="480"/>
        <v>0.79794673396352267</v>
      </c>
      <c r="R158" s="10">
        <f t="shared" si="480"/>
        <v>2.1904833627156592</v>
      </c>
      <c r="T158" s="5" t="s">
        <v>52</v>
      </c>
      <c r="U158" s="3">
        <f t="shared" ref="U158:AA158" si="481">U101/$E$23</f>
        <v>5.2152117768595047E-2</v>
      </c>
      <c r="V158" s="3">
        <f t="shared" si="481"/>
        <v>5.5360523907880106E-2</v>
      </c>
      <c r="W158" s="3">
        <f t="shared" si="481"/>
        <v>6.9888825671055824E-2</v>
      </c>
      <c r="X158" s="3">
        <f t="shared" si="481"/>
        <v>6.1152459583000328E-2</v>
      </c>
      <c r="Y158" s="3">
        <f t="shared" si="481"/>
        <v>0.11384153260736816</v>
      </c>
      <c r="Z158" s="3">
        <f t="shared" si="481"/>
        <v>6.755035987869662E-2</v>
      </c>
      <c r="AA158" s="10">
        <f t="shared" si="481"/>
        <v>0.18543586076825092</v>
      </c>
      <c r="AC158" s="5" t="s">
        <v>52</v>
      </c>
      <c r="AD158" s="3">
        <f t="shared" ref="AD158:AJ158" si="482">AD101/$E$23</f>
        <v>6.2661234504132232E-2</v>
      </c>
      <c r="AE158" s="3">
        <f t="shared" si="482"/>
        <v>6.651616308767104E-2</v>
      </c>
      <c r="AF158" s="3">
        <f t="shared" si="482"/>
        <v>8.3972047195168445E-2</v>
      </c>
      <c r="AG158" s="3">
        <f t="shared" si="482"/>
        <v>7.3475225444101497E-2</v>
      </c>
      <c r="AH158" s="3">
        <f t="shared" si="482"/>
        <v>0.13678161647571163</v>
      </c>
      <c r="AI158" s="3">
        <f t="shared" si="482"/>
        <v>8.1162359695130831E-2</v>
      </c>
      <c r="AJ158" s="10">
        <f t="shared" si="482"/>
        <v>0.22280284011921947</v>
      </c>
      <c r="AK158" s="3"/>
      <c r="AL158" s="5" t="s">
        <v>52</v>
      </c>
      <c r="AM158" s="3">
        <f t="shared" ref="AM158:AS158" si="483">AM101/$E$23</f>
        <v>0.11481335227272728</v>
      </c>
      <c r="AN158" s="3">
        <f t="shared" si="483"/>
        <v>0.12187668699555115</v>
      </c>
      <c r="AO158" s="3">
        <f t="shared" si="483"/>
        <v>0.15386087286622427</v>
      </c>
      <c r="AP158" s="3">
        <f t="shared" si="483"/>
        <v>0.13462768502710185</v>
      </c>
      <c r="AQ158" s="3">
        <f t="shared" si="483"/>
        <v>0.25062314908307975</v>
      </c>
      <c r="AR158" s="3">
        <f t="shared" si="483"/>
        <v>0.14871271957382745</v>
      </c>
      <c r="AS158" s="10">
        <f t="shared" si="483"/>
        <v>0.40823870088747033</v>
      </c>
      <c r="AU158" s="5" t="s">
        <v>52</v>
      </c>
      <c r="AV158" s="3">
        <f t="shared" ref="AV158:BB158" si="484">AV101/$E$23</f>
        <v>3.4367458677685959E-2</v>
      </c>
      <c r="AW158" s="3">
        <f t="shared" si="484"/>
        <v>3.6481749911310847E-2</v>
      </c>
      <c r="AX158" s="3">
        <f t="shared" si="484"/>
        <v>4.6055681553326781E-2</v>
      </c>
      <c r="AY158" s="3">
        <f t="shared" si="484"/>
        <v>4.0298548125752218E-2</v>
      </c>
      <c r="AZ158" s="3">
        <f t="shared" si="484"/>
        <v>7.5019852214786922E-2</v>
      </c>
      <c r="BA158" s="3">
        <f t="shared" si="484"/>
        <v>4.4514667881654132E-2</v>
      </c>
      <c r="BB158" s="10">
        <f t="shared" si="484"/>
        <v>0.12219943417430418</v>
      </c>
      <c r="BD158" s="5" t="s">
        <v>52</v>
      </c>
      <c r="BE158" s="3">
        <f t="shared" ref="BE158:BK158" si="485">BE101/$E$23</f>
        <v>4.8027879648760326E-2</v>
      </c>
      <c r="BF158" s="3">
        <f t="shared" si="485"/>
        <v>5.0982562037798773E-2</v>
      </c>
      <c r="BG158" s="3">
        <f t="shared" si="485"/>
        <v>6.4361952145765872E-2</v>
      </c>
      <c r="BH158" s="3">
        <f t="shared" si="485"/>
        <v>5.6316466037101873E-2</v>
      </c>
      <c r="BI158" s="3">
        <f t="shared" si="485"/>
        <v>0.10483883801914486</v>
      </c>
      <c r="BJ158" s="3">
        <f t="shared" si="485"/>
        <v>6.2208414409551396E-2</v>
      </c>
      <c r="BK158" s="10">
        <f t="shared" si="485"/>
        <v>0.17077141992697562</v>
      </c>
      <c r="BM158" s="5" t="s">
        <v>52</v>
      </c>
      <c r="BN158" s="3">
        <f t="shared" ref="BN158:BT158" si="486">BN101/$E$23</f>
        <v>8.2395338326446285E-2</v>
      </c>
      <c r="BO158" s="3">
        <f t="shared" si="486"/>
        <v>8.7464311949109627E-2</v>
      </c>
      <c r="BP158" s="3">
        <f t="shared" si="486"/>
        <v>0.11041763369909266</v>
      </c>
      <c r="BQ158" s="3">
        <f t="shared" si="486"/>
        <v>9.661501416285409E-2</v>
      </c>
      <c r="BR158" s="3">
        <f t="shared" si="486"/>
        <v>0.17985869023393181</v>
      </c>
      <c r="BS158" s="3">
        <f t="shared" si="486"/>
        <v>0.10672308229120554</v>
      </c>
      <c r="BT158" s="10">
        <f t="shared" si="486"/>
        <v>0.29297085410127982</v>
      </c>
    </row>
    <row r="159" spans="2:72" x14ac:dyDescent="0.25">
      <c r="B159" s="5" t="s">
        <v>53</v>
      </c>
      <c r="C159" s="3">
        <f t="shared" si="465"/>
        <v>1.7371591425619837</v>
      </c>
      <c r="D159" s="3">
        <f t="shared" si="465"/>
        <v>1.8440294346303012</v>
      </c>
      <c r="E159" s="3">
        <f t="shared" si="465"/>
        <v>2.3279593940191772</v>
      </c>
      <c r="F159" s="3">
        <f t="shared" si="465"/>
        <v>2.0369557134021452</v>
      </c>
      <c r="G159" s="3">
        <f t="shared" si="465"/>
        <v>3.792000548273907</v>
      </c>
      <c r="H159" s="3">
        <f t="shared" si="465"/>
        <v>2.2500663495067745</v>
      </c>
      <c r="I159" s="10">
        <f t="shared" si="465"/>
        <v>6.1767693178204794</v>
      </c>
      <c r="K159" s="5" t="s">
        <v>53</v>
      </c>
      <c r="L159" s="3">
        <f t="shared" ref="L159:R159" si="487">L102/$E$23</f>
        <v>0.92407972623966939</v>
      </c>
      <c r="M159" s="3">
        <f t="shared" si="487"/>
        <v>0.98092925016526478</v>
      </c>
      <c r="N159" s="3">
        <f t="shared" si="487"/>
        <v>1.2383552127237243</v>
      </c>
      <c r="O159" s="3">
        <f t="shared" si="487"/>
        <v>1.083556153195574</v>
      </c>
      <c r="P159" s="3">
        <f t="shared" si="487"/>
        <v>2.0171501520475101</v>
      </c>
      <c r="Q159" s="3">
        <f t="shared" si="487"/>
        <v>1.1969201009452839</v>
      </c>
      <c r="R159" s="10">
        <f t="shared" si="487"/>
        <v>3.2857250440734891</v>
      </c>
      <c r="T159" s="5" t="s">
        <v>53</v>
      </c>
      <c r="U159" s="3">
        <f t="shared" ref="U159:AA159" si="488">U102/$E$23</f>
        <v>7.822817665289257E-2</v>
      </c>
      <c r="V159" s="3">
        <f t="shared" si="488"/>
        <v>8.3040785861820149E-2</v>
      </c>
      <c r="W159" s="3">
        <f t="shared" si="488"/>
        <v>0.10483323850658373</v>
      </c>
      <c r="X159" s="3">
        <f t="shared" si="488"/>
        <v>9.1728689374500502E-2</v>
      </c>
      <c r="Y159" s="3">
        <f t="shared" si="488"/>
        <v>0.17076229891105224</v>
      </c>
      <c r="Z159" s="3">
        <f t="shared" si="488"/>
        <v>0.10132553981804494</v>
      </c>
      <c r="AA159" s="10">
        <f t="shared" si="488"/>
        <v>0.27815379115237637</v>
      </c>
      <c r="AC159" s="5" t="s">
        <v>53</v>
      </c>
      <c r="AD159" s="3">
        <f t="shared" ref="AD159:AJ159" si="489">AD102/$E$23</f>
        <v>9.3991851756198355E-2</v>
      </c>
      <c r="AE159" s="3">
        <f t="shared" si="489"/>
        <v>9.9774244631506553E-2</v>
      </c>
      <c r="AF159" s="3">
        <f t="shared" si="489"/>
        <v>0.12595807079275265</v>
      </c>
      <c r="AG159" s="3">
        <f t="shared" si="489"/>
        <v>0.11021283816615224</v>
      </c>
      <c r="AH159" s="3">
        <f t="shared" si="489"/>
        <v>0.20517242471356742</v>
      </c>
      <c r="AI159" s="3">
        <f t="shared" si="489"/>
        <v>0.12174353954269623</v>
      </c>
      <c r="AJ159" s="10">
        <f t="shared" si="489"/>
        <v>0.33420426017882909</v>
      </c>
      <c r="AK159" s="3"/>
      <c r="AL159" s="5" t="s">
        <v>53</v>
      </c>
      <c r="AM159" s="3">
        <f t="shared" ref="AM159:AS159" si="490">AM102/$E$23</f>
        <v>0.17222002840909093</v>
      </c>
      <c r="AN159" s="3">
        <f t="shared" si="490"/>
        <v>0.1828150304933267</v>
      </c>
      <c r="AO159" s="3">
        <f t="shared" si="490"/>
        <v>0.23079130929933639</v>
      </c>
      <c r="AP159" s="3">
        <f t="shared" si="490"/>
        <v>0.20194152754065275</v>
      </c>
      <c r="AQ159" s="3">
        <f t="shared" si="490"/>
        <v>0.37593472362461966</v>
      </c>
      <c r="AR159" s="3">
        <f t="shared" si="490"/>
        <v>0.22306907936074116</v>
      </c>
      <c r="AS159" s="10">
        <f t="shared" si="490"/>
        <v>0.61235805133120547</v>
      </c>
      <c r="AU159" s="5" t="s">
        <v>53</v>
      </c>
      <c r="AV159" s="3">
        <f t="shared" ref="AV159:BB159" si="491">AV102/$E$23</f>
        <v>5.1551188016528936E-2</v>
      </c>
      <c r="AW159" s="3">
        <f t="shared" si="491"/>
        <v>5.4722624866966267E-2</v>
      </c>
      <c r="AX159" s="3">
        <f t="shared" si="491"/>
        <v>6.9083522329990155E-2</v>
      </c>
      <c r="AY159" s="3">
        <f t="shared" si="491"/>
        <v>6.0447822188628313E-2</v>
      </c>
      <c r="AZ159" s="3">
        <f t="shared" si="491"/>
        <v>0.11252977832218039</v>
      </c>
      <c r="BA159" s="3">
        <f t="shared" si="491"/>
        <v>6.6772001822481192E-2</v>
      </c>
      <c r="BB159" s="10">
        <f t="shared" si="491"/>
        <v>0.18329915126145627</v>
      </c>
      <c r="BD159" s="5" t="s">
        <v>53</v>
      </c>
      <c r="BE159" s="3">
        <f t="shared" ref="BE159:BK159" si="492">BE102/$E$23</f>
        <v>7.2041819473140478E-2</v>
      </c>
      <c r="BF159" s="3">
        <f t="shared" si="492"/>
        <v>7.647384305669816E-2</v>
      </c>
      <c r="BG159" s="3">
        <f t="shared" si="492"/>
        <v>9.6542928218648794E-2</v>
      </c>
      <c r="BH159" s="3">
        <f t="shared" si="492"/>
        <v>8.4474699055652816E-2</v>
      </c>
      <c r="BI159" s="3">
        <f t="shared" si="492"/>
        <v>0.15725825702871726</v>
      </c>
      <c r="BJ159" s="3">
        <f t="shared" si="492"/>
        <v>9.3312621614327101E-2</v>
      </c>
      <c r="BK159" s="10">
        <f t="shared" si="492"/>
        <v>0.25615712989046341</v>
      </c>
      <c r="BM159" s="5" t="s">
        <v>53</v>
      </c>
      <c r="BN159" s="3">
        <f t="shared" ref="BN159:BT159" si="493">BN102/$E$23</f>
        <v>0.12359300748966943</v>
      </c>
      <c r="BO159" s="3">
        <f t="shared" si="493"/>
        <v>0.13119646792366443</v>
      </c>
      <c r="BP159" s="3">
        <f t="shared" si="493"/>
        <v>0.16562645054863898</v>
      </c>
      <c r="BQ159" s="3">
        <f t="shared" si="493"/>
        <v>0.14492252124428112</v>
      </c>
      <c r="BR159" s="3">
        <f t="shared" si="493"/>
        <v>0.26978803535089774</v>
      </c>
      <c r="BS159" s="3">
        <f t="shared" si="493"/>
        <v>0.16008462343680829</v>
      </c>
      <c r="BT159" s="10">
        <f t="shared" si="493"/>
        <v>0.4394562811519197</v>
      </c>
    </row>
    <row r="160" spans="2:72" ht="15.75" thickBot="1" x14ac:dyDescent="0.3">
      <c r="B160" s="6" t="s">
        <v>54</v>
      </c>
      <c r="C160" s="11">
        <f t="shared" si="465"/>
        <v>2.3162121900826449</v>
      </c>
      <c r="D160" s="11">
        <f t="shared" si="465"/>
        <v>2.4587059128404012</v>
      </c>
      <c r="E160" s="11">
        <f t="shared" si="465"/>
        <v>3.1039458586922364</v>
      </c>
      <c r="F160" s="11">
        <f t="shared" si="465"/>
        <v>2.7159409512028603</v>
      </c>
      <c r="G160" s="11">
        <f t="shared" si="465"/>
        <v>5.0560007310318751</v>
      </c>
      <c r="H160" s="11">
        <f t="shared" si="465"/>
        <v>3.0000884660090326</v>
      </c>
      <c r="I160" s="12">
        <f t="shared" si="465"/>
        <v>8.2356924237606393</v>
      </c>
      <c r="K160" s="6" t="s">
        <v>54</v>
      </c>
      <c r="L160" s="11">
        <f t="shared" ref="L160:R160" si="494">L103/$E$23</f>
        <v>1.2321063016528926</v>
      </c>
      <c r="M160" s="11">
        <f t="shared" si="494"/>
        <v>1.3079056668870197</v>
      </c>
      <c r="N160" s="11">
        <f t="shared" si="494"/>
        <v>1.6511402836316325</v>
      </c>
      <c r="O160" s="11">
        <f t="shared" si="494"/>
        <v>1.4447415375940988</v>
      </c>
      <c r="P160" s="11">
        <f t="shared" si="494"/>
        <v>2.689533536063347</v>
      </c>
      <c r="Q160" s="11">
        <f t="shared" si="494"/>
        <v>1.5958934679270453</v>
      </c>
      <c r="R160" s="12">
        <f t="shared" si="494"/>
        <v>4.3809667254313185</v>
      </c>
      <c r="T160" s="6" t="s">
        <v>54</v>
      </c>
      <c r="U160" s="11">
        <f t="shared" ref="U160:AA160" si="495">U103/$E$23</f>
        <v>0.10430423553719009</v>
      </c>
      <c r="V160" s="11">
        <f t="shared" si="495"/>
        <v>0.11072104781576021</v>
      </c>
      <c r="W160" s="11">
        <f t="shared" si="495"/>
        <v>0.13977765134211165</v>
      </c>
      <c r="X160" s="11">
        <f t="shared" si="495"/>
        <v>0.12230491916600066</v>
      </c>
      <c r="Y160" s="11">
        <f t="shared" si="495"/>
        <v>0.22768306521473633</v>
      </c>
      <c r="Z160" s="11">
        <f t="shared" si="495"/>
        <v>0.13510071975739324</v>
      </c>
      <c r="AA160" s="12">
        <f t="shared" si="495"/>
        <v>0.37087172153650183</v>
      </c>
      <c r="AC160" s="6" t="s">
        <v>54</v>
      </c>
      <c r="AD160" s="11">
        <f t="shared" ref="AD160:AJ160" si="496">AD103/$E$23</f>
        <v>0.12532246900826446</v>
      </c>
      <c r="AE160" s="11">
        <f t="shared" si="496"/>
        <v>0.13303232617534208</v>
      </c>
      <c r="AF160" s="11">
        <f t="shared" si="496"/>
        <v>0.16794409439033689</v>
      </c>
      <c r="AG160" s="11">
        <f t="shared" si="496"/>
        <v>0.14695045088820299</v>
      </c>
      <c r="AH160" s="11">
        <f t="shared" si="496"/>
        <v>0.27356323295142326</v>
      </c>
      <c r="AI160" s="11">
        <f t="shared" si="496"/>
        <v>0.16232471939026166</v>
      </c>
      <c r="AJ160" s="12">
        <f t="shared" si="496"/>
        <v>0.44560568023843894</v>
      </c>
      <c r="AK160" s="3"/>
      <c r="AL160" s="6" t="s">
        <v>54</v>
      </c>
      <c r="AM160" s="11">
        <f t="shared" ref="AM160:AS160" si="497">AM103/$E$23</f>
        <v>0.22962670454545456</v>
      </c>
      <c r="AN160" s="11">
        <f t="shared" si="497"/>
        <v>0.24375337399110231</v>
      </c>
      <c r="AO160" s="11">
        <f t="shared" si="497"/>
        <v>0.30772174573244854</v>
      </c>
      <c r="AP160" s="11">
        <f t="shared" si="497"/>
        <v>0.26925537005420369</v>
      </c>
      <c r="AQ160" s="11">
        <f t="shared" si="497"/>
        <v>0.50124629816615951</v>
      </c>
      <c r="AR160" s="11">
        <f t="shared" si="497"/>
        <v>0.2974254391476549</v>
      </c>
      <c r="AS160" s="12">
        <f t="shared" si="497"/>
        <v>0.81647740177494066</v>
      </c>
      <c r="AU160" s="6" t="s">
        <v>54</v>
      </c>
      <c r="AV160" s="11">
        <f t="shared" ref="AV160:BB160" si="498">AV103/$E$23</f>
        <v>6.8734917355371919E-2</v>
      </c>
      <c r="AW160" s="11">
        <f t="shared" si="498"/>
        <v>7.2963499822621694E-2</v>
      </c>
      <c r="AX160" s="11">
        <f t="shared" si="498"/>
        <v>9.2111363106653563E-2</v>
      </c>
      <c r="AY160" s="11">
        <f t="shared" si="498"/>
        <v>8.0597096251504435E-2</v>
      </c>
      <c r="AZ160" s="11">
        <f t="shared" si="498"/>
        <v>0.15003970442957384</v>
      </c>
      <c r="BA160" s="11">
        <f t="shared" si="498"/>
        <v>8.9029335763308265E-2</v>
      </c>
      <c r="BB160" s="12">
        <f t="shared" si="498"/>
        <v>0.24439886834860836</v>
      </c>
      <c r="BD160" s="6" t="s">
        <v>54</v>
      </c>
      <c r="BE160" s="11">
        <f t="shared" ref="BE160:BK160" si="499">BE103/$E$23</f>
        <v>9.6055759297520651E-2</v>
      </c>
      <c r="BF160" s="11">
        <f t="shared" si="499"/>
        <v>0.10196512407559755</v>
      </c>
      <c r="BG160" s="11">
        <f t="shared" si="499"/>
        <v>0.12872390429153174</v>
      </c>
      <c r="BH160" s="11">
        <f t="shared" si="499"/>
        <v>0.11263293207420375</v>
      </c>
      <c r="BI160" s="11">
        <f t="shared" si="499"/>
        <v>0.20967767603828971</v>
      </c>
      <c r="BJ160" s="11">
        <f t="shared" si="499"/>
        <v>0.12441682881910279</v>
      </c>
      <c r="BK160" s="12">
        <f t="shared" si="499"/>
        <v>0.34154283985395123</v>
      </c>
      <c r="BM160" s="6" t="s">
        <v>54</v>
      </c>
      <c r="BN160" s="11">
        <f t="shared" ref="BN160:BT160" si="500">BN103/$E$23</f>
        <v>0.16479067665289257</v>
      </c>
      <c r="BO160" s="11">
        <f t="shared" si="500"/>
        <v>0.17492862389821925</v>
      </c>
      <c r="BP160" s="11">
        <f t="shared" si="500"/>
        <v>0.22083526739818532</v>
      </c>
      <c r="BQ160" s="11">
        <f t="shared" si="500"/>
        <v>0.19323002832570818</v>
      </c>
      <c r="BR160" s="11">
        <f t="shared" si="500"/>
        <v>0.35971738046786361</v>
      </c>
      <c r="BS160" s="11">
        <f t="shared" si="500"/>
        <v>0.21344616458241109</v>
      </c>
      <c r="BT160" s="12">
        <f t="shared" si="500"/>
        <v>0.58594170820255964</v>
      </c>
    </row>
  </sheetData>
  <mergeCells count="91">
    <mergeCell ref="AL32:AM32"/>
    <mergeCell ref="BM32:BN32"/>
    <mergeCell ref="L38:R38"/>
    <mergeCell ref="U38:AA38"/>
    <mergeCell ref="AD38:AJ38"/>
    <mergeCell ref="AV38:BB38"/>
    <mergeCell ref="BE38:BK38"/>
    <mergeCell ref="AM38:AS38"/>
    <mergeCell ref="BN38:BT38"/>
    <mergeCell ref="L51:R51"/>
    <mergeCell ref="L62:R62"/>
    <mergeCell ref="L73:R73"/>
    <mergeCell ref="L84:R84"/>
    <mergeCell ref="L95:R95"/>
    <mergeCell ref="U141:AA141"/>
    <mergeCell ref="U152:AA152"/>
    <mergeCell ref="F17:H17"/>
    <mergeCell ref="C108:I108"/>
    <mergeCell ref="C119:I119"/>
    <mergeCell ref="C130:I130"/>
    <mergeCell ref="C141:I141"/>
    <mergeCell ref="C51:I51"/>
    <mergeCell ref="C62:I62"/>
    <mergeCell ref="C73:I73"/>
    <mergeCell ref="C84:I84"/>
    <mergeCell ref="C95:I95"/>
    <mergeCell ref="C38:I38"/>
    <mergeCell ref="C152:I152"/>
    <mergeCell ref="U51:AA51"/>
    <mergeCell ref="U62:AA62"/>
    <mergeCell ref="L108:R108"/>
    <mergeCell ref="L119:R119"/>
    <mergeCell ref="L130:R130"/>
    <mergeCell ref="L141:R141"/>
    <mergeCell ref="L152:R152"/>
    <mergeCell ref="BE141:BK141"/>
    <mergeCell ref="BE152:BK152"/>
    <mergeCell ref="AD108:AJ108"/>
    <mergeCell ref="AD119:AJ119"/>
    <mergeCell ref="AD130:AJ130"/>
    <mergeCell ref="AD141:AJ141"/>
    <mergeCell ref="AD152:AJ152"/>
    <mergeCell ref="AV108:BB108"/>
    <mergeCell ref="AV119:BB119"/>
    <mergeCell ref="AV130:BB130"/>
    <mergeCell ref="AV141:BB141"/>
    <mergeCell ref="AV152:BB152"/>
    <mergeCell ref="AM108:AS108"/>
    <mergeCell ref="AM119:AS119"/>
    <mergeCell ref="AM130:AS130"/>
    <mergeCell ref="AM141:AS141"/>
    <mergeCell ref="U108:AA108"/>
    <mergeCell ref="U119:AA119"/>
    <mergeCell ref="U130:AA130"/>
    <mergeCell ref="AV51:BB51"/>
    <mergeCell ref="AV62:BB62"/>
    <mergeCell ref="AV73:BB73"/>
    <mergeCell ref="AV84:BB84"/>
    <mergeCell ref="AV95:BB95"/>
    <mergeCell ref="U73:AA73"/>
    <mergeCell ref="U84:AA84"/>
    <mergeCell ref="U95:AA95"/>
    <mergeCell ref="AD51:AJ51"/>
    <mergeCell ref="AD62:AJ62"/>
    <mergeCell ref="AD73:AJ73"/>
    <mergeCell ref="AD84:AJ84"/>
    <mergeCell ref="AD95:AJ95"/>
    <mergeCell ref="BE108:BK108"/>
    <mergeCell ref="BE119:BK119"/>
    <mergeCell ref="BE130:BK130"/>
    <mergeCell ref="BE51:BK51"/>
    <mergeCell ref="BE62:BK62"/>
    <mergeCell ref="BE73:BK73"/>
    <mergeCell ref="BE84:BK84"/>
    <mergeCell ref="BE95:BK95"/>
    <mergeCell ref="AM152:AS152"/>
    <mergeCell ref="BN51:BT51"/>
    <mergeCell ref="BN62:BT62"/>
    <mergeCell ref="BN73:BT73"/>
    <mergeCell ref="BN84:BT84"/>
    <mergeCell ref="BN95:BT95"/>
    <mergeCell ref="BN108:BT108"/>
    <mergeCell ref="BN119:BT119"/>
    <mergeCell ref="BN130:BT130"/>
    <mergeCell ref="BN141:BT141"/>
    <mergeCell ref="BN152:BT152"/>
    <mergeCell ref="AM51:AS51"/>
    <mergeCell ref="AM62:AS62"/>
    <mergeCell ref="AM73:AS73"/>
    <mergeCell ref="AM84:AS84"/>
    <mergeCell ref="AM95:AS95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1C06D4-1375-423F-B1B5-748B2ADC4984}">
  <dimension ref="B2:Q57"/>
  <sheetViews>
    <sheetView zoomScale="80" zoomScaleNormal="80" workbookViewId="0">
      <selection activeCell="B2" sqref="B2"/>
    </sheetView>
  </sheetViews>
  <sheetFormatPr defaultColWidth="15.7109375" defaultRowHeight="15" x14ac:dyDescent="0.25"/>
  <cols>
    <col min="1" max="1" width="6.7109375" customWidth="1"/>
    <col min="2" max="2" width="27.7109375" style="56" bestFit="1" customWidth="1"/>
    <col min="3" max="4" width="8.7109375" style="56" bestFit="1" customWidth="1"/>
    <col min="5" max="5" width="16.42578125" style="56" bestFit="1" customWidth="1"/>
    <col min="6" max="6" width="76.28515625" style="56" customWidth="1"/>
    <col min="7" max="7" width="11.28515625" customWidth="1"/>
    <col min="8" max="8" width="87.5703125" style="56" customWidth="1"/>
    <col min="9" max="10" width="15.7109375" style="56"/>
    <col min="11" max="11" width="16.5703125" style="56" customWidth="1"/>
    <col min="13" max="16" width="15.7109375" style="56"/>
    <col min="17" max="17" width="76.5703125" style="56" customWidth="1"/>
  </cols>
  <sheetData>
    <row r="2" spans="2:11" ht="18.75" x14ac:dyDescent="0.3">
      <c r="B2" s="22" t="s">
        <v>56</v>
      </c>
    </row>
    <row r="3" spans="2:11" ht="15.75" thickBot="1" x14ac:dyDescent="0.3"/>
    <row r="4" spans="2:11" ht="19.5" thickBot="1" x14ac:dyDescent="0.35">
      <c r="B4" s="94" t="s">
        <v>64</v>
      </c>
      <c r="H4" s="95" t="s">
        <v>5</v>
      </c>
      <c r="I4" s="247"/>
      <c r="J4" s="247"/>
      <c r="K4" s="247"/>
    </row>
    <row r="5" spans="2:11" ht="15.75" thickBot="1" x14ac:dyDescent="0.3">
      <c r="B5" s="355" t="s">
        <v>65</v>
      </c>
      <c r="C5" s="357" t="s">
        <v>66</v>
      </c>
      <c r="D5" s="358"/>
      <c r="E5" s="355" t="s">
        <v>67</v>
      </c>
      <c r="F5" s="355" t="s">
        <v>68</v>
      </c>
      <c r="H5" s="342" t="s">
        <v>69</v>
      </c>
      <c r="I5" s="343"/>
      <c r="J5" s="343"/>
      <c r="K5" s="344"/>
    </row>
    <row r="6" spans="2:11" ht="15.75" thickBot="1" x14ac:dyDescent="0.3">
      <c r="B6" s="356"/>
      <c r="C6" s="232" t="s">
        <v>70</v>
      </c>
      <c r="D6" s="231" t="s">
        <v>71</v>
      </c>
      <c r="E6" s="356"/>
      <c r="F6" s="356"/>
      <c r="H6" s="345" t="s">
        <v>72</v>
      </c>
      <c r="I6" s="346"/>
      <c r="J6" s="346"/>
      <c r="K6" s="347"/>
    </row>
    <row r="7" spans="2:11" ht="15.75" thickBot="1" x14ac:dyDescent="0.3">
      <c r="B7" s="352" t="s">
        <v>73</v>
      </c>
      <c r="C7" s="353"/>
      <c r="D7" s="353"/>
      <c r="E7" s="353"/>
      <c r="F7" s="354"/>
      <c r="H7" s="336" t="s">
        <v>74</v>
      </c>
      <c r="I7" s="337"/>
      <c r="J7" s="337"/>
      <c r="K7" s="338"/>
    </row>
    <row r="8" spans="2:11" ht="38.25" customHeight="1" x14ac:dyDescent="0.25">
      <c r="B8" s="57" t="s">
        <v>75</v>
      </c>
      <c r="C8" s="58">
        <v>10</v>
      </c>
      <c r="D8" s="59">
        <v>10</v>
      </c>
      <c r="E8" s="60" t="s">
        <v>76</v>
      </c>
      <c r="F8" s="61" t="s">
        <v>77</v>
      </c>
      <c r="H8" s="336" t="s">
        <v>78</v>
      </c>
      <c r="I8" s="337"/>
      <c r="J8" s="337"/>
      <c r="K8" s="338"/>
    </row>
    <row r="9" spans="2:11" ht="51" customHeight="1" x14ac:dyDescent="0.25">
      <c r="B9" s="62" t="s">
        <v>79</v>
      </c>
      <c r="C9" s="127">
        <v>1</v>
      </c>
      <c r="D9" s="127">
        <v>1</v>
      </c>
      <c r="E9" s="63"/>
      <c r="F9" s="64" t="s">
        <v>80</v>
      </c>
      <c r="H9" s="336" t="s">
        <v>81</v>
      </c>
      <c r="I9" s="337"/>
      <c r="J9" s="337"/>
      <c r="K9" s="338"/>
    </row>
    <row r="10" spans="2:11" ht="41.25" thickBot="1" x14ac:dyDescent="0.3">
      <c r="B10" s="65" t="s">
        <v>82</v>
      </c>
      <c r="C10" s="233">
        <f>C8*C9*8760*1/1000</f>
        <v>87.6</v>
      </c>
      <c r="D10" s="233">
        <f>D8*D9*8760*1/1000</f>
        <v>87.6</v>
      </c>
      <c r="E10" s="66" t="s">
        <v>83</v>
      </c>
      <c r="F10" s="67" t="s">
        <v>84</v>
      </c>
      <c r="H10" s="139"/>
      <c r="I10" s="241"/>
      <c r="J10" s="140"/>
      <c r="K10" s="141"/>
    </row>
    <row r="11" spans="2:11" ht="15.75" thickBot="1" x14ac:dyDescent="0.3">
      <c r="B11" s="339" t="s">
        <v>85</v>
      </c>
      <c r="C11" s="340"/>
      <c r="D11" s="340"/>
      <c r="E11" s="340"/>
      <c r="F11" s="341"/>
      <c r="H11" s="348" t="s">
        <v>65</v>
      </c>
      <c r="I11" s="350" t="s">
        <v>66</v>
      </c>
      <c r="J11" s="351"/>
      <c r="K11" s="348" t="s">
        <v>67</v>
      </c>
    </row>
    <row r="12" spans="2:11" ht="15.75" thickBot="1" x14ac:dyDescent="0.3">
      <c r="B12" s="68" t="s">
        <v>86</v>
      </c>
      <c r="C12" s="127">
        <v>0.4</v>
      </c>
      <c r="D12" s="127">
        <v>0.7</v>
      </c>
      <c r="E12" s="69" t="s">
        <v>87</v>
      </c>
      <c r="F12" s="128" t="s">
        <v>88</v>
      </c>
      <c r="H12" s="349"/>
      <c r="I12" s="93" t="s">
        <v>70</v>
      </c>
      <c r="J12" s="92" t="s">
        <v>71</v>
      </c>
      <c r="K12" s="349"/>
    </row>
    <row r="13" spans="2:11" ht="15.75" thickBot="1" x14ac:dyDescent="0.3">
      <c r="B13" s="339" t="s">
        <v>56</v>
      </c>
      <c r="C13" s="340"/>
      <c r="D13" s="340"/>
      <c r="E13" s="340"/>
      <c r="F13" s="341"/>
      <c r="H13" s="333" t="s">
        <v>89</v>
      </c>
      <c r="I13" s="334"/>
      <c r="J13" s="334"/>
      <c r="K13" s="335"/>
    </row>
    <row r="14" spans="2:11" ht="54" x14ac:dyDescent="0.25">
      <c r="B14" s="70" t="s">
        <v>90</v>
      </c>
      <c r="C14" s="234">
        <f>MIN(C10:D10)/D12</f>
        <v>125.14285714285714</v>
      </c>
      <c r="D14" s="234">
        <f>MAX(C10:D10)/C12</f>
        <v>218.99999999999997</v>
      </c>
      <c r="E14" s="60" t="s">
        <v>83</v>
      </c>
      <c r="F14" s="64" t="s">
        <v>91</v>
      </c>
      <c r="H14" s="331" t="s">
        <v>92</v>
      </c>
      <c r="I14" s="146">
        <v>120</v>
      </c>
      <c r="J14" s="147">
        <v>120</v>
      </c>
      <c r="K14" s="242" t="s">
        <v>93</v>
      </c>
    </row>
    <row r="15" spans="2:11" x14ac:dyDescent="0.25">
      <c r="B15" s="62" t="s">
        <v>94</v>
      </c>
      <c r="C15" s="233">
        <v>33.33</v>
      </c>
      <c r="D15" s="233">
        <v>33.33</v>
      </c>
      <c r="E15" s="71" t="s">
        <v>95</v>
      </c>
      <c r="F15" s="72" t="s">
        <v>96</v>
      </c>
      <c r="H15" s="332"/>
      <c r="I15" s="89">
        <f>1/I14</f>
        <v>8.3333333333333332E-3</v>
      </c>
      <c r="J15" s="89">
        <f>1/J14</f>
        <v>8.3333333333333332E-3</v>
      </c>
      <c r="K15" s="242" t="s">
        <v>97</v>
      </c>
    </row>
    <row r="16" spans="2:11" ht="54.75" thickBot="1" x14ac:dyDescent="0.3">
      <c r="B16" s="73" t="s">
        <v>98</v>
      </c>
      <c r="C16" s="238">
        <f>C14*1000/C15*1/1000</f>
        <v>3.7546611804037546</v>
      </c>
      <c r="D16" s="238">
        <f>D14*1000/D15*1/1000</f>
        <v>6.5706570657065706</v>
      </c>
      <c r="E16" s="74" t="s">
        <v>99</v>
      </c>
      <c r="F16" s="75" t="s">
        <v>100</v>
      </c>
      <c r="H16" s="145" t="s">
        <v>101</v>
      </c>
      <c r="I16" s="76">
        <v>5000</v>
      </c>
      <c r="J16" s="76">
        <v>50000</v>
      </c>
      <c r="K16" s="242" t="s">
        <v>102</v>
      </c>
    </row>
    <row r="17" spans="2:11" ht="15.75" thickBot="1" x14ac:dyDescent="0.3">
      <c r="B17" s="352" t="s">
        <v>103</v>
      </c>
      <c r="C17" s="353"/>
      <c r="D17" s="353"/>
      <c r="E17" s="353"/>
      <c r="F17" s="354"/>
      <c r="H17" s="149" t="s">
        <v>104</v>
      </c>
      <c r="I17" s="246">
        <f>I15*I16/1000</f>
        <v>4.1666666666666664E-2</v>
      </c>
      <c r="J17" s="246">
        <f>J15*J16/1000</f>
        <v>0.41666666666666669</v>
      </c>
      <c r="K17" s="243" t="s">
        <v>105</v>
      </c>
    </row>
    <row r="18" spans="2:11" ht="27.75" thickBot="1" x14ac:dyDescent="0.3">
      <c r="B18" s="57" t="s">
        <v>106</v>
      </c>
      <c r="C18" s="76">
        <v>50</v>
      </c>
      <c r="D18" s="76">
        <v>70</v>
      </c>
      <c r="E18" s="60" t="s">
        <v>107</v>
      </c>
      <c r="F18" s="77" t="s">
        <v>108</v>
      </c>
      <c r="H18" s="333" t="s">
        <v>109</v>
      </c>
      <c r="I18" s="334"/>
      <c r="J18" s="334"/>
      <c r="K18" s="335"/>
    </row>
    <row r="19" spans="2:11" x14ac:dyDescent="0.25">
      <c r="B19" s="78" t="s">
        <v>110</v>
      </c>
      <c r="C19" s="79">
        <v>20</v>
      </c>
      <c r="D19" s="79">
        <v>20</v>
      </c>
      <c r="E19" s="80"/>
      <c r="F19" s="81"/>
      <c r="H19" s="331" t="s">
        <v>92</v>
      </c>
      <c r="I19" s="146">
        <v>14</v>
      </c>
      <c r="J19" s="147">
        <v>14</v>
      </c>
      <c r="K19" s="242" t="s">
        <v>93</v>
      </c>
    </row>
    <row r="20" spans="2:11" x14ac:dyDescent="0.25">
      <c r="B20" s="82" t="s">
        <v>111</v>
      </c>
      <c r="C20" s="79">
        <v>300</v>
      </c>
      <c r="D20" s="79">
        <v>300</v>
      </c>
      <c r="E20" s="83" t="s">
        <v>112</v>
      </c>
      <c r="F20" s="81" t="s">
        <v>113</v>
      </c>
      <c r="H20" s="332"/>
      <c r="I20" s="89">
        <f>1/I19</f>
        <v>7.1428571428571425E-2</v>
      </c>
      <c r="J20" s="89">
        <f>1/J19</f>
        <v>7.1428571428571425E-2</v>
      </c>
      <c r="K20" s="242" t="s">
        <v>97</v>
      </c>
    </row>
    <row r="21" spans="2:11" ht="68.25" thickBot="1" x14ac:dyDescent="0.3">
      <c r="B21" s="84" t="s">
        <v>114</v>
      </c>
      <c r="C21" s="234">
        <f>C18*C19*C20*1/1000</f>
        <v>300</v>
      </c>
      <c r="D21" s="234">
        <f>D18*D19*D20*1/1000</f>
        <v>420</v>
      </c>
      <c r="E21" s="66" t="s">
        <v>83</v>
      </c>
      <c r="F21" s="85" t="s">
        <v>115</v>
      </c>
      <c r="H21" s="145" t="s">
        <v>101</v>
      </c>
      <c r="I21" s="76">
        <v>5000</v>
      </c>
      <c r="J21" s="76">
        <v>50000</v>
      </c>
      <c r="K21" s="242" t="s">
        <v>102</v>
      </c>
    </row>
    <row r="22" spans="2:11" ht="15.75" thickBot="1" x14ac:dyDescent="0.3">
      <c r="B22" s="339" t="s">
        <v>85</v>
      </c>
      <c r="C22" s="340"/>
      <c r="D22" s="340"/>
      <c r="E22" s="340"/>
      <c r="F22" s="341"/>
      <c r="H22" s="149" t="s">
        <v>104</v>
      </c>
      <c r="I22" s="246">
        <f>I20*I21/1000</f>
        <v>0.3571428571428571</v>
      </c>
      <c r="J22" s="246">
        <f>J20*J21/1000</f>
        <v>3.5714285714285712</v>
      </c>
      <c r="K22" s="243" t="s">
        <v>105</v>
      </c>
    </row>
    <row r="23" spans="2:11" ht="15.75" thickBot="1" x14ac:dyDescent="0.3">
      <c r="B23" s="68" t="s">
        <v>86</v>
      </c>
      <c r="C23" s="127">
        <v>0.4</v>
      </c>
      <c r="D23" s="127">
        <v>0.7</v>
      </c>
      <c r="E23" s="69" t="s">
        <v>87</v>
      </c>
      <c r="F23" s="128" t="s">
        <v>88</v>
      </c>
      <c r="H23" s="333" t="s">
        <v>116</v>
      </c>
      <c r="I23" s="334"/>
      <c r="J23" s="334"/>
      <c r="K23" s="335"/>
    </row>
    <row r="24" spans="2:11" ht="15.75" thickBot="1" x14ac:dyDescent="0.3">
      <c r="B24" s="339" t="s">
        <v>56</v>
      </c>
      <c r="C24" s="340"/>
      <c r="D24" s="340"/>
      <c r="E24" s="340"/>
      <c r="F24" s="341"/>
      <c r="H24" s="331" t="s">
        <v>92</v>
      </c>
      <c r="I24" s="146">
        <v>17</v>
      </c>
      <c r="J24" s="147">
        <v>17</v>
      </c>
      <c r="K24" s="242" t="s">
        <v>93</v>
      </c>
    </row>
    <row r="25" spans="2:11" ht="54" x14ac:dyDescent="0.25">
      <c r="B25" s="70" t="s">
        <v>90</v>
      </c>
      <c r="C25" s="234">
        <f>MIN(C21:D21)/D23</f>
        <v>428.57142857142861</v>
      </c>
      <c r="D25" s="79">
        <f>MAX(C21:D21)/C23</f>
        <v>1050</v>
      </c>
      <c r="E25" s="60" t="s">
        <v>83</v>
      </c>
      <c r="F25" s="64" t="s">
        <v>117</v>
      </c>
      <c r="H25" s="332"/>
      <c r="I25" s="89">
        <f>1/I24</f>
        <v>5.8823529411764705E-2</v>
      </c>
      <c r="J25" s="89">
        <f>1/J24</f>
        <v>5.8823529411764705E-2</v>
      </c>
      <c r="K25" s="242" t="s">
        <v>97</v>
      </c>
    </row>
    <row r="26" spans="2:11" x14ac:dyDescent="0.25">
      <c r="B26" s="62" t="s">
        <v>94</v>
      </c>
      <c r="C26" s="233">
        <v>33.33</v>
      </c>
      <c r="D26" s="233">
        <v>33.33</v>
      </c>
      <c r="E26" s="71" t="s">
        <v>95</v>
      </c>
      <c r="F26" s="72" t="s">
        <v>96</v>
      </c>
      <c r="H26" s="145" t="s">
        <v>101</v>
      </c>
      <c r="I26" s="76">
        <v>5000</v>
      </c>
      <c r="J26" s="76">
        <v>50000</v>
      </c>
      <c r="K26" s="242" t="s">
        <v>102</v>
      </c>
    </row>
    <row r="27" spans="2:11" ht="54.75" thickBot="1" x14ac:dyDescent="0.3">
      <c r="B27" s="73" t="s">
        <v>98</v>
      </c>
      <c r="C27" s="238">
        <f>C25*1000/C26*1/1000</f>
        <v>12.85842870001286</v>
      </c>
      <c r="D27" s="238">
        <f>D25*1000/D26*1/1000</f>
        <v>31.503150315031505</v>
      </c>
      <c r="E27" s="74" t="s">
        <v>99</v>
      </c>
      <c r="F27" s="75" t="s">
        <v>118</v>
      </c>
      <c r="H27" s="152" t="s">
        <v>104</v>
      </c>
      <c r="I27" s="245">
        <f>I25*I26/1000</f>
        <v>0.29411764705882354</v>
      </c>
      <c r="J27" s="245">
        <f>J25*J26/1000</f>
        <v>2.9411764705882351</v>
      </c>
      <c r="K27" s="244" t="s">
        <v>105</v>
      </c>
    </row>
    <row r="28" spans="2:11" ht="15.75" thickBot="1" x14ac:dyDescent="0.3">
      <c r="B28" s="352" t="s">
        <v>119</v>
      </c>
      <c r="C28" s="353"/>
      <c r="D28" s="353"/>
      <c r="E28" s="353"/>
      <c r="F28" s="354"/>
    </row>
    <row r="29" spans="2:11" x14ac:dyDescent="0.25">
      <c r="B29" s="57" t="s">
        <v>120</v>
      </c>
      <c r="C29" s="76">
        <v>30000</v>
      </c>
      <c r="D29" s="76">
        <v>30000</v>
      </c>
      <c r="E29" s="60" t="s">
        <v>121</v>
      </c>
      <c r="F29" s="86" t="s">
        <v>122</v>
      </c>
    </row>
    <row r="30" spans="2:11" x14ac:dyDescent="0.25">
      <c r="B30" s="62" t="s">
        <v>123</v>
      </c>
      <c r="C30" s="79">
        <v>50</v>
      </c>
      <c r="D30" s="79">
        <v>50</v>
      </c>
      <c r="E30" s="63" t="s">
        <v>124</v>
      </c>
      <c r="F30" s="64" t="s">
        <v>125</v>
      </c>
    </row>
    <row r="31" spans="2:11" ht="41.25" thickBot="1" x14ac:dyDescent="0.3">
      <c r="B31" s="84" t="s">
        <v>114</v>
      </c>
      <c r="C31" s="234">
        <f>C29*C30*1/1000</f>
        <v>1500</v>
      </c>
      <c r="D31" s="79">
        <f>D29*D30*1/1000</f>
        <v>1500</v>
      </c>
      <c r="E31" s="66" t="s">
        <v>83</v>
      </c>
      <c r="F31" s="85" t="s">
        <v>126</v>
      </c>
    </row>
    <row r="32" spans="2:11" ht="15.75" thickBot="1" x14ac:dyDescent="0.3">
      <c r="B32" s="339" t="s">
        <v>85</v>
      </c>
      <c r="C32" s="340"/>
      <c r="D32" s="340"/>
      <c r="E32" s="340"/>
      <c r="F32" s="341"/>
    </row>
    <row r="33" spans="2:6" ht="15.75" thickBot="1" x14ac:dyDescent="0.3">
      <c r="B33" s="68" t="s">
        <v>86</v>
      </c>
      <c r="C33" s="127">
        <v>0.4</v>
      </c>
      <c r="D33" s="127">
        <v>0.7</v>
      </c>
      <c r="E33" s="69" t="s">
        <v>87</v>
      </c>
      <c r="F33" s="128" t="s">
        <v>88</v>
      </c>
    </row>
    <row r="34" spans="2:6" ht="15.75" thickBot="1" x14ac:dyDescent="0.3">
      <c r="B34" s="339" t="s">
        <v>56</v>
      </c>
      <c r="C34" s="340"/>
      <c r="D34" s="340"/>
      <c r="E34" s="340"/>
      <c r="F34" s="341"/>
    </row>
    <row r="35" spans="2:6" ht="54" x14ac:dyDescent="0.25">
      <c r="B35" s="87" t="s">
        <v>90</v>
      </c>
      <c r="C35" s="235">
        <f>MIN(C31:D31)/D33</f>
        <v>2142.8571428571431</v>
      </c>
      <c r="D35" s="236">
        <f>MAX(C31:D31)/C33</f>
        <v>3750</v>
      </c>
      <c r="E35" s="88" t="s">
        <v>83</v>
      </c>
      <c r="F35" s="64" t="s">
        <v>127</v>
      </c>
    </row>
    <row r="36" spans="2:6" x14ac:dyDescent="0.25">
      <c r="B36" s="62" t="s">
        <v>94</v>
      </c>
      <c r="C36" s="233">
        <v>33.33</v>
      </c>
      <c r="D36" s="233">
        <v>33.33</v>
      </c>
      <c r="E36" s="71" t="s">
        <v>95</v>
      </c>
      <c r="F36" s="72" t="s">
        <v>96</v>
      </c>
    </row>
    <row r="37" spans="2:6" ht="54.75" thickBot="1" x14ac:dyDescent="0.3">
      <c r="B37" s="73" t="s">
        <v>98</v>
      </c>
      <c r="C37" s="239">
        <f>C35*1000/C36*1/1000</f>
        <v>64.292143500064299</v>
      </c>
      <c r="D37" s="239">
        <f>D35*1000/D36*1/1000</f>
        <v>112.51125112511251</v>
      </c>
      <c r="E37" s="74" t="s">
        <v>99</v>
      </c>
      <c r="F37" s="75" t="s">
        <v>128</v>
      </c>
    </row>
    <row r="38" spans="2:6" ht="15.75" thickBot="1" x14ac:dyDescent="0.3">
      <c r="B38" s="352" t="s">
        <v>129</v>
      </c>
      <c r="C38" s="353"/>
      <c r="D38" s="353"/>
      <c r="E38" s="353"/>
      <c r="F38" s="354"/>
    </row>
    <row r="39" spans="2:6" ht="67.5" x14ac:dyDescent="0.25">
      <c r="B39" s="57" t="s">
        <v>120</v>
      </c>
      <c r="C39" s="89">
        <v>0.01</v>
      </c>
      <c r="D39" s="89">
        <v>1.54</v>
      </c>
      <c r="E39" s="60" t="s">
        <v>130</v>
      </c>
      <c r="F39" s="64" t="s">
        <v>131</v>
      </c>
    </row>
    <row r="40" spans="2:6" ht="23.25" customHeight="1" x14ac:dyDescent="0.25">
      <c r="B40" s="62" t="s">
        <v>132</v>
      </c>
      <c r="C40" s="79">
        <v>50</v>
      </c>
      <c r="D40" s="79">
        <v>100</v>
      </c>
      <c r="E40" s="63" t="s">
        <v>133</v>
      </c>
      <c r="F40" s="64" t="s">
        <v>125</v>
      </c>
    </row>
    <row r="41" spans="2:6" ht="54.75" thickBot="1" x14ac:dyDescent="0.3">
      <c r="B41" s="84" t="s">
        <v>114</v>
      </c>
      <c r="C41" s="237">
        <f>C39*C40</f>
        <v>0.5</v>
      </c>
      <c r="D41" s="237">
        <f>D39*D40</f>
        <v>154</v>
      </c>
      <c r="E41" s="66" t="s">
        <v>83</v>
      </c>
      <c r="F41" s="64" t="s">
        <v>134</v>
      </c>
    </row>
    <row r="42" spans="2:6" ht="15.75" thickBot="1" x14ac:dyDescent="0.3">
      <c r="B42" s="339" t="s">
        <v>85</v>
      </c>
      <c r="C42" s="340"/>
      <c r="D42" s="340"/>
      <c r="E42" s="340"/>
      <c r="F42" s="341"/>
    </row>
    <row r="43" spans="2:6" ht="15.75" thickBot="1" x14ac:dyDescent="0.3">
      <c r="B43" s="68" t="s">
        <v>86</v>
      </c>
      <c r="C43" s="127">
        <v>0.4</v>
      </c>
      <c r="D43" s="127">
        <v>0.7</v>
      </c>
      <c r="E43" s="69" t="s">
        <v>87</v>
      </c>
      <c r="F43" s="128" t="s">
        <v>88</v>
      </c>
    </row>
    <row r="44" spans="2:6" ht="15.75" thickBot="1" x14ac:dyDescent="0.3">
      <c r="B44" s="339" t="s">
        <v>56</v>
      </c>
      <c r="C44" s="340"/>
      <c r="D44" s="340"/>
      <c r="E44" s="340"/>
      <c r="F44" s="341"/>
    </row>
    <row r="45" spans="2:6" ht="54" x14ac:dyDescent="0.25">
      <c r="B45" s="87" t="s">
        <v>90</v>
      </c>
      <c r="C45" s="235">
        <f>MIN(C41:D41)/D43</f>
        <v>0.7142857142857143</v>
      </c>
      <c r="D45" s="236">
        <f>MAX(C41:D41)/C43</f>
        <v>385</v>
      </c>
      <c r="E45" s="88" t="s">
        <v>83</v>
      </c>
      <c r="F45" s="64" t="s">
        <v>127</v>
      </c>
    </row>
    <row r="46" spans="2:6" x14ac:dyDescent="0.25">
      <c r="B46" s="62" t="s">
        <v>94</v>
      </c>
      <c r="C46" s="233">
        <v>33.33</v>
      </c>
      <c r="D46" s="233">
        <v>33.33</v>
      </c>
      <c r="E46" s="71" t="s">
        <v>95</v>
      </c>
      <c r="F46" s="72" t="s">
        <v>96</v>
      </c>
    </row>
    <row r="47" spans="2:6" ht="54.75" thickBot="1" x14ac:dyDescent="0.3">
      <c r="B47" s="73" t="s">
        <v>98</v>
      </c>
      <c r="C47" s="240">
        <f>C45*1000/C46*1/1000</f>
        <v>2.1430714500021434E-2</v>
      </c>
      <c r="D47" s="240">
        <f>D45*1000/D46*1/1000</f>
        <v>11.551155115511552</v>
      </c>
      <c r="E47" s="74" t="s">
        <v>99</v>
      </c>
      <c r="F47" s="75" t="s">
        <v>135</v>
      </c>
    </row>
    <row r="48" spans="2:6" ht="15.75" thickBot="1" x14ac:dyDescent="0.3">
      <c r="B48" s="352" t="s">
        <v>136</v>
      </c>
      <c r="C48" s="353"/>
      <c r="D48" s="353"/>
      <c r="E48" s="353"/>
      <c r="F48" s="354"/>
    </row>
    <row r="49" spans="2:6" x14ac:dyDescent="0.25">
      <c r="B49" s="57" t="s">
        <v>120</v>
      </c>
      <c r="C49" s="76">
        <v>10</v>
      </c>
      <c r="D49" s="76">
        <v>10</v>
      </c>
      <c r="E49" s="60" t="s">
        <v>137</v>
      </c>
      <c r="F49" s="86"/>
    </row>
    <row r="50" spans="2:6" x14ac:dyDescent="0.25">
      <c r="B50" s="62" t="s">
        <v>138</v>
      </c>
      <c r="C50" s="90">
        <v>1</v>
      </c>
      <c r="D50" s="90">
        <v>1</v>
      </c>
      <c r="E50" s="63" t="s">
        <v>87</v>
      </c>
      <c r="F50" s="64" t="s">
        <v>125</v>
      </c>
    </row>
    <row r="51" spans="2:6" ht="54.75" thickBot="1" x14ac:dyDescent="0.3">
      <c r="B51" s="84" t="s">
        <v>114</v>
      </c>
      <c r="C51" s="79">
        <f>C49*C50*8760</f>
        <v>87600</v>
      </c>
      <c r="D51" s="79">
        <f>D49*D50*8760</f>
        <v>87600</v>
      </c>
      <c r="E51" s="66" t="s">
        <v>83</v>
      </c>
      <c r="F51" s="64" t="s">
        <v>139</v>
      </c>
    </row>
    <row r="52" spans="2:6" ht="15.75" thickBot="1" x14ac:dyDescent="0.3">
      <c r="B52" s="339" t="s">
        <v>140</v>
      </c>
      <c r="C52" s="340"/>
      <c r="D52" s="340"/>
      <c r="E52" s="340"/>
      <c r="F52" s="341"/>
    </row>
    <row r="53" spans="2:6" ht="54.75" thickBot="1" x14ac:dyDescent="0.3">
      <c r="B53" s="68" t="s">
        <v>86</v>
      </c>
      <c r="C53" s="127">
        <v>0.3</v>
      </c>
      <c r="D53" s="127">
        <v>0.4</v>
      </c>
      <c r="E53" s="69" t="s">
        <v>87</v>
      </c>
      <c r="F53" s="128" t="s">
        <v>141</v>
      </c>
    </row>
    <row r="54" spans="2:6" ht="15.75" thickBot="1" x14ac:dyDescent="0.3">
      <c r="B54" s="339" t="s">
        <v>56</v>
      </c>
      <c r="C54" s="340"/>
      <c r="D54" s="340"/>
      <c r="E54" s="340"/>
      <c r="F54" s="341"/>
    </row>
    <row r="55" spans="2:6" ht="54" x14ac:dyDescent="0.25">
      <c r="B55" s="87" t="s">
        <v>90</v>
      </c>
      <c r="C55" s="235">
        <f>MIN(C51:D51)/D53</f>
        <v>219000</v>
      </c>
      <c r="D55" s="236">
        <f>MAX(C51:D51)/C53</f>
        <v>292000</v>
      </c>
      <c r="E55" s="88" t="s">
        <v>83</v>
      </c>
      <c r="F55" s="64" t="s">
        <v>142</v>
      </c>
    </row>
    <row r="56" spans="2:6" x14ac:dyDescent="0.25">
      <c r="B56" s="62" t="s">
        <v>94</v>
      </c>
      <c r="C56" s="233">
        <v>33.33</v>
      </c>
      <c r="D56" s="233">
        <v>33.33</v>
      </c>
      <c r="E56" s="71" t="s">
        <v>95</v>
      </c>
      <c r="F56" s="72" t="s">
        <v>96</v>
      </c>
    </row>
    <row r="57" spans="2:6" ht="54.75" thickBot="1" x14ac:dyDescent="0.3">
      <c r="B57" s="73" t="s">
        <v>98</v>
      </c>
      <c r="C57" s="239">
        <f>C55*1000/C56*1/1000*1/1000</f>
        <v>6.5706570657065706</v>
      </c>
      <c r="D57" s="239">
        <f>D55*1000/D56*1/1000*1/1000</f>
        <v>8.7608760876087626</v>
      </c>
      <c r="E57" s="74" t="s">
        <v>143</v>
      </c>
      <c r="F57" s="75" t="s">
        <v>144</v>
      </c>
    </row>
  </sheetData>
  <mergeCells count="33">
    <mergeCell ref="B32:F32"/>
    <mergeCell ref="B5:B6"/>
    <mergeCell ref="C5:D5"/>
    <mergeCell ref="E5:E6"/>
    <mergeCell ref="F5:F6"/>
    <mergeCell ref="B7:F7"/>
    <mergeCell ref="B11:F11"/>
    <mergeCell ref="B13:F13"/>
    <mergeCell ref="B17:F17"/>
    <mergeCell ref="B22:F22"/>
    <mergeCell ref="B24:F24"/>
    <mergeCell ref="B28:F28"/>
    <mergeCell ref="B54:F54"/>
    <mergeCell ref="H5:K5"/>
    <mergeCell ref="H6:K6"/>
    <mergeCell ref="H7:K7"/>
    <mergeCell ref="H11:H12"/>
    <mergeCell ref="I11:J11"/>
    <mergeCell ref="K11:K12"/>
    <mergeCell ref="H13:K13"/>
    <mergeCell ref="H14:H15"/>
    <mergeCell ref="H18:K18"/>
    <mergeCell ref="B34:F34"/>
    <mergeCell ref="B38:F38"/>
    <mergeCell ref="B42:F42"/>
    <mergeCell ref="B44:F44"/>
    <mergeCell ref="B48:F48"/>
    <mergeCell ref="B52:F52"/>
    <mergeCell ref="H19:H20"/>
    <mergeCell ref="H23:K23"/>
    <mergeCell ref="H24:H25"/>
    <mergeCell ref="H8:K8"/>
    <mergeCell ref="H9:K9"/>
  </mergeCells>
  <hyperlinks>
    <hyperlink ref="F8" r:id="rId1" location="Sec6" display="https://link.springer.com/article/10.1007/s10668-023-02917-7 - Sec6" xr:uid="{8B221C52-0F97-4FF0-A296-1FFF6C9DC403}"/>
    <hyperlink ref="F18" r:id="rId2" xr:uid="{7E5B5C89-4723-44E2-817E-88593EA20CD7}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7CF750-717D-431C-A2F4-510F158FA403}">
  <dimension ref="B3:L63"/>
  <sheetViews>
    <sheetView zoomScale="80" zoomScaleNormal="80" workbookViewId="0">
      <selection activeCell="C33" sqref="C33"/>
    </sheetView>
  </sheetViews>
  <sheetFormatPr defaultColWidth="15.7109375" defaultRowHeight="15" x14ac:dyDescent="0.25"/>
  <cols>
    <col min="1" max="1" width="7.7109375" customWidth="1"/>
    <col min="2" max="2" width="24.140625" bestFit="1" customWidth="1"/>
    <col min="3" max="4" width="15.7109375" style="3"/>
    <col min="6" max="6" width="36.140625" customWidth="1"/>
    <col min="7" max="7" width="9.85546875" customWidth="1"/>
    <col min="8" max="8" width="25.85546875" style="56" customWidth="1"/>
    <col min="9" max="10" width="15.7109375" style="277"/>
    <col min="11" max="11" width="15.7109375" style="56"/>
    <col min="12" max="12" width="65.85546875" style="56" customWidth="1"/>
  </cols>
  <sheetData>
    <row r="3" spans="2:12" ht="18.75" x14ac:dyDescent="0.3">
      <c r="B3" s="22" t="s">
        <v>58</v>
      </c>
    </row>
    <row r="4" spans="2:12" ht="15.75" thickBot="1" x14ac:dyDescent="0.3"/>
    <row r="5" spans="2:12" ht="19.5" thickBot="1" x14ac:dyDescent="0.35">
      <c r="B5" s="94" t="s">
        <v>64</v>
      </c>
      <c r="H5" s="367" t="s">
        <v>6</v>
      </c>
      <c r="I5" s="368"/>
    </row>
    <row r="6" spans="2:12" ht="15.75" thickBot="1" x14ac:dyDescent="0.3">
      <c r="B6" s="376" t="s">
        <v>69</v>
      </c>
      <c r="C6" s="376"/>
      <c r="D6" s="376"/>
      <c r="E6" s="376"/>
      <c r="F6" s="377"/>
      <c r="H6" s="369" t="s">
        <v>69</v>
      </c>
      <c r="I6" s="369"/>
      <c r="J6" s="369"/>
      <c r="K6" s="369"/>
      <c r="L6" s="370"/>
    </row>
    <row r="7" spans="2:12" x14ac:dyDescent="0.25">
      <c r="B7" s="371" t="s">
        <v>72</v>
      </c>
      <c r="C7" s="371"/>
      <c r="D7" s="371"/>
      <c r="E7" s="371"/>
      <c r="F7" s="372"/>
      <c r="H7" s="371" t="s">
        <v>72</v>
      </c>
      <c r="I7" s="371"/>
      <c r="J7" s="371"/>
      <c r="K7" s="371"/>
      <c r="L7" s="372"/>
    </row>
    <row r="8" spans="2:12" x14ac:dyDescent="0.25">
      <c r="B8" s="176" t="s">
        <v>145</v>
      </c>
      <c r="C8" s="282">
        <v>5.22</v>
      </c>
      <c r="D8" s="283" t="s">
        <v>146</v>
      </c>
      <c r="E8" s="177"/>
      <c r="F8" s="178"/>
      <c r="H8" s="176" t="s">
        <v>145</v>
      </c>
      <c r="I8" s="277">
        <v>5.22</v>
      </c>
      <c r="J8" s="278" t="s">
        <v>146</v>
      </c>
      <c r="K8" s="177"/>
      <c r="L8" s="178"/>
    </row>
    <row r="9" spans="2:12" x14ac:dyDescent="0.25">
      <c r="B9" s="176" t="s">
        <v>147</v>
      </c>
      <c r="C9" s="282" t="s">
        <v>148</v>
      </c>
      <c r="D9" s="283"/>
      <c r="E9" s="177"/>
      <c r="F9" s="178"/>
      <c r="H9" s="176" t="s">
        <v>147</v>
      </c>
      <c r="I9" s="279">
        <v>0.46</v>
      </c>
      <c r="J9" s="278"/>
      <c r="K9" s="177"/>
      <c r="L9" s="178"/>
    </row>
    <row r="10" spans="2:12" x14ac:dyDescent="0.25">
      <c r="B10" s="176"/>
      <c r="C10" s="282"/>
      <c r="D10" s="283"/>
      <c r="E10" s="177"/>
      <c r="F10" s="178"/>
      <c r="H10" s="176"/>
      <c r="J10" s="278"/>
      <c r="K10" s="177"/>
      <c r="L10" s="178"/>
    </row>
    <row r="11" spans="2:12" x14ac:dyDescent="0.25">
      <c r="B11" s="176"/>
      <c r="C11" s="282"/>
      <c r="D11" s="283"/>
      <c r="E11" s="177"/>
      <c r="F11" s="178"/>
      <c r="H11" s="176"/>
      <c r="J11" s="278"/>
      <c r="K11" s="177"/>
      <c r="L11" s="178"/>
    </row>
    <row r="12" spans="2:12" ht="15.75" thickBot="1" x14ac:dyDescent="0.3">
      <c r="B12" s="179"/>
      <c r="C12" s="282"/>
      <c r="D12" s="282"/>
      <c r="E12" s="56"/>
      <c r="F12" s="180"/>
      <c r="H12" s="179"/>
      <c r="L12" s="180"/>
    </row>
    <row r="13" spans="2:12" ht="15.75" thickBot="1" x14ac:dyDescent="0.3">
      <c r="B13" s="378" t="s">
        <v>65</v>
      </c>
      <c r="C13" s="379" t="s">
        <v>66</v>
      </c>
      <c r="D13" s="379"/>
      <c r="E13" s="378" t="s">
        <v>67</v>
      </c>
      <c r="F13" s="378" t="s">
        <v>68</v>
      </c>
      <c r="H13" s="365" t="s">
        <v>65</v>
      </c>
      <c r="I13" s="366" t="s">
        <v>66</v>
      </c>
      <c r="J13" s="366"/>
      <c r="K13" s="365" t="s">
        <v>67</v>
      </c>
      <c r="L13" s="365" t="s">
        <v>68</v>
      </c>
    </row>
    <row r="14" spans="2:12" ht="15.75" thickBot="1" x14ac:dyDescent="0.3">
      <c r="B14" s="378"/>
      <c r="C14" s="293" t="s">
        <v>70</v>
      </c>
      <c r="D14" s="294" t="s">
        <v>71</v>
      </c>
      <c r="E14" s="378"/>
      <c r="F14" s="378"/>
      <c r="H14" s="365"/>
      <c r="I14" s="248" t="s">
        <v>70</v>
      </c>
      <c r="J14" s="249" t="s">
        <v>71</v>
      </c>
      <c r="K14" s="365"/>
      <c r="L14" s="365"/>
    </row>
    <row r="15" spans="2:12" ht="15.75" thickBot="1" x14ac:dyDescent="0.3">
      <c r="B15" s="333" t="s">
        <v>136</v>
      </c>
      <c r="C15" s="334"/>
      <c r="D15" s="334"/>
      <c r="E15" s="334"/>
      <c r="F15" s="335"/>
      <c r="H15" s="359" t="s">
        <v>149</v>
      </c>
      <c r="I15" s="360"/>
      <c r="J15" s="360"/>
      <c r="K15" s="360"/>
      <c r="L15" s="361"/>
    </row>
    <row r="16" spans="2:12" ht="30.75" thickBot="1" x14ac:dyDescent="0.3">
      <c r="B16" s="193" t="s">
        <v>120</v>
      </c>
      <c r="C16" s="194">
        <v>10</v>
      </c>
      <c r="D16" s="195">
        <v>10</v>
      </c>
      <c r="E16" s="196" t="s">
        <v>137</v>
      </c>
      <c r="F16" s="197"/>
      <c r="H16" s="333" t="s">
        <v>150</v>
      </c>
      <c r="I16" s="334"/>
      <c r="J16" s="334"/>
      <c r="K16" s="334"/>
      <c r="L16" s="335"/>
    </row>
    <row r="17" spans="2:12" ht="45" x14ac:dyDescent="0.25">
      <c r="B17" s="129" t="s">
        <v>138</v>
      </c>
      <c r="C17" s="126">
        <v>1</v>
      </c>
      <c r="D17" s="126">
        <v>1</v>
      </c>
      <c r="E17" s="106"/>
      <c r="F17" s="131"/>
      <c r="H17" s="158" t="s">
        <v>151</v>
      </c>
      <c r="I17" s="146">
        <v>4.5</v>
      </c>
      <c r="J17" s="167">
        <v>20</v>
      </c>
      <c r="K17" s="109" t="s">
        <v>76</v>
      </c>
      <c r="L17" s="148" t="s">
        <v>152</v>
      </c>
    </row>
    <row r="18" spans="2:12" ht="30" x14ac:dyDescent="0.25">
      <c r="B18" s="181" t="s">
        <v>114</v>
      </c>
      <c r="C18" s="184">
        <f>24*365</f>
        <v>8760</v>
      </c>
      <c r="D18" s="184">
        <f>24*365</f>
        <v>8760</v>
      </c>
      <c r="E18" s="106" t="s">
        <v>153</v>
      </c>
      <c r="F18" s="135" t="s">
        <v>154</v>
      </c>
      <c r="H18" s="145" t="s">
        <v>155</v>
      </c>
      <c r="I18" s="76">
        <v>6</v>
      </c>
      <c r="J18" s="167">
        <v>12</v>
      </c>
      <c r="K18" s="109" t="s">
        <v>156</v>
      </c>
      <c r="L18" s="148" t="s">
        <v>157</v>
      </c>
    </row>
    <row r="19" spans="2:12" ht="30" x14ac:dyDescent="0.25">
      <c r="B19" s="110" t="s">
        <v>114</v>
      </c>
      <c r="C19" s="252">
        <f>C16*C17*C18</f>
        <v>87600</v>
      </c>
      <c r="D19" s="252">
        <f>D16*D17*D18</f>
        <v>87600</v>
      </c>
      <c r="E19" s="185" t="s">
        <v>158</v>
      </c>
      <c r="F19" s="135"/>
      <c r="H19" s="145" t="s">
        <v>159</v>
      </c>
      <c r="I19" s="76">
        <v>350</v>
      </c>
      <c r="J19" s="167">
        <v>350</v>
      </c>
      <c r="K19" s="109" t="s">
        <v>160</v>
      </c>
      <c r="L19" s="148" t="s">
        <v>157</v>
      </c>
    </row>
    <row r="20" spans="2:12" x14ac:dyDescent="0.25">
      <c r="B20" s="373" t="s">
        <v>161</v>
      </c>
      <c r="C20" s="374"/>
      <c r="D20" s="374"/>
      <c r="E20" s="374"/>
      <c r="F20" s="375"/>
      <c r="H20" s="149" t="s">
        <v>162</v>
      </c>
      <c r="I20" s="187">
        <f>I18*I19</f>
        <v>2100</v>
      </c>
      <c r="J20" s="182">
        <f>J18*J19</f>
        <v>4200</v>
      </c>
      <c r="K20" s="150" t="s">
        <v>156</v>
      </c>
      <c r="L20" s="148" t="s">
        <v>157</v>
      </c>
    </row>
    <row r="21" spans="2:12" ht="45.75" thickBot="1" x14ac:dyDescent="0.3">
      <c r="B21" s="198" t="s">
        <v>163</v>
      </c>
      <c r="C21" s="280">
        <v>0.3</v>
      </c>
      <c r="D21" s="280">
        <v>0.4</v>
      </c>
      <c r="E21" s="186"/>
      <c r="F21" s="199" t="s">
        <v>164</v>
      </c>
      <c r="H21" s="149" t="s">
        <v>165</v>
      </c>
      <c r="I21" s="281">
        <f>I17*I20*(1/$I$9)*(1/$I$8)*(1/1000)*10%</f>
        <v>0.3935532233883059</v>
      </c>
      <c r="J21" s="281">
        <f>J17*J20*(1/$I$9)*(1/$I$8)*(1/1000)*10%</f>
        <v>3.4982508745627188</v>
      </c>
      <c r="K21" s="150" t="s">
        <v>105</v>
      </c>
      <c r="L21" s="151" t="s">
        <v>166</v>
      </c>
    </row>
    <row r="22" spans="2:12" ht="45.75" thickBot="1" x14ac:dyDescent="0.3">
      <c r="B22" s="380" t="s">
        <v>167</v>
      </c>
      <c r="C22" s="381"/>
      <c r="D22" s="381"/>
      <c r="E22" s="381"/>
      <c r="F22" s="382"/>
      <c r="H22" s="149" t="s">
        <v>168</v>
      </c>
      <c r="I22" s="281">
        <f>I17*I20*(1/$I$9)*(1/$I$8)*(1/1000)*30%</f>
        <v>1.1806596701649175</v>
      </c>
      <c r="J22" s="281">
        <f>J17*J20*(1/$I$9)*(1/$I$8)*(1/1000)*30%</f>
        <v>10.494752623688155</v>
      </c>
      <c r="K22" s="150" t="s">
        <v>105</v>
      </c>
      <c r="L22" s="151" t="s">
        <v>169</v>
      </c>
    </row>
    <row r="23" spans="2:12" ht="90.75" thickBot="1" x14ac:dyDescent="0.3">
      <c r="B23" s="193" t="s">
        <v>170</v>
      </c>
      <c r="C23" s="253">
        <f>C19/C21*10%</f>
        <v>29200</v>
      </c>
      <c r="D23" s="253">
        <f>D19/D21*10%</f>
        <v>21900</v>
      </c>
      <c r="E23" s="196" t="s">
        <v>158</v>
      </c>
      <c r="F23" s="200" t="s">
        <v>171</v>
      </c>
      <c r="H23" s="152" t="s">
        <v>172</v>
      </c>
      <c r="I23" s="281">
        <f>I17*I20*(1/$I$9)*(1/$I$8)*(1/1000)*100%</f>
        <v>3.9355322338830585</v>
      </c>
      <c r="J23" s="281">
        <f>J17*J20*(1/$I$9)*(1/$I$8)*(1/1000)*100%</f>
        <v>34.982508745627186</v>
      </c>
      <c r="K23" s="153" t="s">
        <v>105</v>
      </c>
      <c r="L23" s="151" t="s">
        <v>173</v>
      </c>
    </row>
    <row r="24" spans="2:12" ht="15.75" thickBot="1" x14ac:dyDescent="0.3">
      <c r="B24" s="129" t="s">
        <v>174</v>
      </c>
      <c r="C24" s="254">
        <f>C8/1000</f>
        <v>5.2199999999999998E-3</v>
      </c>
      <c r="D24" s="254">
        <f>C24</f>
        <v>5.2199999999999998E-3</v>
      </c>
      <c r="E24" s="106" t="s">
        <v>175</v>
      </c>
      <c r="F24" s="133"/>
      <c r="H24" s="333" t="s">
        <v>176</v>
      </c>
      <c r="I24" s="334"/>
      <c r="J24" s="334"/>
      <c r="K24" s="334"/>
      <c r="L24" s="335"/>
    </row>
    <row r="25" spans="2:12" ht="60" x14ac:dyDescent="0.25">
      <c r="B25" s="129" t="s">
        <v>177</v>
      </c>
      <c r="C25" s="267">
        <f>C23/C24/1000</f>
        <v>5593.8697318007671</v>
      </c>
      <c r="D25" s="267">
        <f>D23/D24/1000</f>
        <v>4195.4022988505749</v>
      </c>
      <c r="E25" s="106" t="s">
        <v>105</v>
      </c>
      <c r="F25" s="133" t="s">
        <v>178</v>
      </c>
      <c r="H25" s="191" t="s">
        <v>151</v>
      </c>
      <c r="I25" s="76">
        <v>20</v>
      </c>
      <c r="J25" s="76">
        <v>55</v>
      </c>
      <c r="K25" s="109" t="s">
        <v>76</v>
      </c>
      <c r="L25" s="192"/>
    </row>
    <row r="26" spans="2:12" ht="30" x14ac:dyDescent="0.25">
      <c r="B26" s="373" t="s">
        <v>179</v>
      </c>
      <c r="C26" s="374"/>
      <c r="D26" s="374"/>
      <c r="E26" s="374"/>
      <c r="F26" s="375"/>
      <c r="H26" s="145" t="s">
        <v>155</v>
      </c>
      <c r="I26" s="76">
        <v>6</v>
      </c>
      <c r="J26" s="76">
        <v>12</v>
      </c>
      <c r="K26" s="109" t="s">
        <v>156</v>
      </c>
      <c r="L26" s="188"/>
    </row>
    <row r="27" spans="2:12" ht="30" x14ac:dyDescent="0.25">
      <c r="B27" s="129" t="s">
        <v>170</v>
      </c>
      <c r="C27" s="255">
        <f>C19/C21*30%</f>
        <v>87600</v>
      </c>
      <c r="D27" s="255">
        <f>D19/D21*30%</f>
        <v>65700</v>
      </c>
      <c r="E27" s="106" t="s">
        <v>158</v>
      </c>
      <c r="F27" s="133"/>
      <c r="H27" s="145" t="s">
        <v>159</v>
      </c>
      <c r="I27" s="76">
        <v>350</v>
      </c>
      <c r="J27" s="76">
        <v>350</v>
      </c>
      <c r="K27" s="109" t="s">
        <v>160</v>
      </c>
      <c r="L27" s="188"/>
    </row>
    <row r="28" spans="2:12" x14ac:dyDescent="0.25">
      <c r="B28" s="129" t="s">
        <v>174</v>
      </c>
      <c r="C28" s="254">
        <f>C24</f>
        <v>5.2199999999999998E-3</v>
      </c>
      <c r="D28" s="254">
        <f>D24</f>
        <v>5.2199999999999998E-3</v>
      </c>
      <c r="E28" s="106" t="s">
        <v>175</v>
      </c>
      <c r="F28" s="133"/>
      <c r="H28" s="149" t="s">
        <v>162</v>
      </c>
      <c r="I28" s="187">
        <f>I26*I27</f>
        <v>2100</v>
      </c>
      <c r="J28" s="187">
        <f>J26*J27</f>
        <v>4200</v>
      </c>
      <c r="K28" s="150" t="s">
        <v>156</v>
      </c>
      <c r="L28" s="188"/>
    </row>
    <row r="29" spans="2:12" ht="45" x14ac:dyDescent="0.25">
      <c r="B29" s="129" t="s">
        <v>177</v>
      </c>
      <c r="C29" s="267">
        <f>C27/C28/1000</f>
        <v>16781.6091954023</v>
      </c>
      <c r="D29" s="267">
        <f>D27/D28/1000</f>
        <v>12586.206896551725</v>
      </c>
      <c r="E29" s="106" t="s">
        <v>105</v>
      </c>
      <c r="F29" s="133"/>
      <c r="H29" s="149" t="s">
        <v>165</v>
      </c>
      <c r="I29" s="281">
        <f>I25*I28*(1/$I$9)*(1/$I$8)*(1/1000)*10%</f>
        <v>1.7491254372813594</v>
      </c>
      <c r="J29" s="281">
        <f>J25*J28*(1/$I$9)*(1/$I$8)*(1/1000)*10%</f>
        <v>9.6201899050474768</v>
      </c>
      <c r="K29" s="150" t="s">
        <v>105</v>
      </c>
      <c r="L29" s="151" t="s">
        <v>180</v>
      </c>
    </row>
    <row r="30" spans="2:12" ht="45" x14ac:dyDescent="0.25">
      <c r="B30" s="373" t="s">
        <v>181</v>
      </c>
      <c r="C30" s="374"/>
      <c r="D30" s="374"/>
      <c r="E30" s="374"/>
      <c r="F30" s="375"/>
      <c r="H30" s="149" t="s">
        <v>168</v>
      </c>
      <c r="I30" s="281">
        <f>I25*I28*(1/$I$9)*(1/$I$8)*(1/1000)*30%</f>
        <v>5.2473763118440777</v>
      </c>
      <c r="J30" s="281">
        <f>J25*J28*(1/$I$9)*(1/$I$8)*(1/1000)*30%</f>
        <v>28.860569715142429</v>
      </c>
      <c r="K30" s="150" t="s">
        <v>105</v>
      </c>
      <c r="L30" s="151" t="s">
        <v>182</v>
      </c>
    </row>
    <row r="31" spans="2:12" ht="45.75" thickBot="1" x14ac:dyDescent="0.3">
      <c r="B31" s="129" t="s">
        <v>170</v>
      </c>
      <c r="C31" s="255">
        <f>C19/C21*100%</f>
        <v>292000</v>
      </c>
      <c r="D31" s="255">
        <f>D19/D21*100%</f>
        <v>219000</v>
      </c>
      <c r="E31" s="106" t="s">
        <v>158</v>
      </c>
      <c r="F31" s="133"/>
      <c r="H31" s="152" t="s">
        <v>172</v>
      </c>
      <c r="I31" s="281">
        <f>I25*I28*(1/$I$9)*(1/$I$8)*(1/1000)*100%</f>
        <v>17.491254372813593</v>
      </c>
      <c r="J31" s="281">
        <f>J25*J28*(1/$I$9)*(1/$I$8)*(1/1000)*100%</f>
        <v>96.201899050474765</v>
      </c>
      <c r="K31" s="153" t="s">
        <v>105</v>
      </c>
      <c r="L31" s="151" t="s">
        <v>183</v>
      </c>
    </row>
    <row r="32" spans="2:12" ht="15.75" thickBot="1" x14ac:dyDescent="0.3">
      <c r="B32" s="129" t="s">
        <v>174</v>
      </c>
      <c r="C32" s="254">
        <f>C28</f>
        <v>5.2199999999999998E-3</v>
      </c>
      <c r="D32" s="254">
        <f>D28</f>
        <v>5.2199999999999998E-3</v>
      </c>
      <c r="E32" s="106" t="s">
        <v>175</v>
      </c>
      <c r="F32" s="133"/>
      <c r="H32" s="333" t="s">
        <v>184</v>
      </c>
      <c r="I32" s="334"/>
      <c r="J32" s="334"/>
      <c r="K32" s="334"/>
      <c r="L32" s="335"/>
    </row>
    <row r="33" spans="2:12" ht="38.25" customHeight="1" x14ac:dyDescent="0.25">
      <c r="B33" s="129" t="s">
        <v>177</v>
      </c>
      <c r="C33" s="267">
        <f>C31/C32/1000</f>
        <v>55938.69731800766</v>
      </c>
      <c r="D33" s="267">
        <f>D31/D32/1000</f>
        <v>41954.022988505749</v>
      </c>
      <c r="E33" s="106" t="s">
        <v>105</v>
      </c>
      <c r="F33" s="133"/>
      <c r="H33" s="158" t="s">
        <v>151</v>
      </c>
      <c r="I33" s="76">
        <v>800</v>
      </c>
      <c r="J33" s="76">
        <v>6400</v>
      </c>
      <c r="K33" s="109" t="s">
        <v>76</v>
      </c>
      <c r="L33" s="192"/>
    </row>
    <row r="34" spans="2:12" ht="30" x14ac:dyDescent="0.25">
      <c r="B34" s="373" t="s">
        <v>185</v>
      </c>
      <c r="C34" s="374"/>
      <c r="D34" s="374"/>
      <c r="E34" s="374"/>
      <c r="F34" s="375"/>
      <c r="H34" s="145" t="s">
        <v>155</v>
      </c>
      <c r="I34" s="76">
        <v>6</v>
      </c>
      <c r="J34" s="76">
        <v>12</v>
      </c>
      <c r="K34" s="109" t="s">
        <v>156</v>
      </c>
      <c r="L34" s="188"/>
    </row>
    <row r="35" spans="2:12" ht="30" x14ac:dyDescent="0.25">
      <c r="B35" s="129" t="s">
        <v>85</v>
      </c>
      <c r="C35" s="107"/>
      <c r="D35" s="107"/>
      <c r="E35" s="106"/>
      <c r="F35" s="132"/>
      <c r="H35" s="145" t="s">
        <v>159</v>
      </c>
      <c r="I35" s="76">
        <v>350</v>
      </c>
      <c r="J35" s="76">
        <v>350</v>
      </c>
      <c r="K35" s="109" t="s">
        <v>160</v>
      </c>
      <c r="L35" s="188"/>
    </row>
    <row r="36" spans="2:12" ht="15.75" thickBot="1" x14ac:dyDescent="0.3">
      <c r="B36" s="136" t="s">
        <v>186</v>
      </c>
      <c r="C36" s="256"/>
      <c r="D36" s="257"/>
      <c r="E36" s="137"/>
      <c r="F36" s="138"/>
      <c r="H36" s="149" t="s">
        <v>162</v>
      </c>
      <c r="I36" s="187">
        <f>I34*I35</f>
        <v>2100</v>
      </c>
      <c r="J36" s="187">
        <f>J34*J35</f>
        <v>4200</v>
      </c>
      <c r="K36" s="150" t="s">
        <v>156</v>
      </c>
      <c r="L36" s="188"/>
    </row>
    <row r="37" spans="2:12" ht="45" x14ac:dyDescent="0.25">
      <c r="B37" s="298"/>
      <c r="C37" s="300"/>
      <c r="D37" s="300"/>
      <c r="E37" s="298"/>
      <c r="F37" s="299"/>
      <c r="H37" s="149" t="s">
        <v>165</v>
      </c>
      <c r="I37" s="281">
        <f>I33*I36*(1/$I$9)*(1/$I$8)*(1/1000)*10%</f>
        <v>69.965017491254386</v>
      </c>
      <c r="J37" s="281">
        <f>J33*J36*(1/$I$9)*(1/$I$8)*(1/1000)*10%</f>
        <v>1119.4402798600702</v>
      </c>
      <c r="K37" s="150" t="s">
        <v>105</v>
      </c>
      <c r="L37" s="151" t="s">
        <v>187</v>
      </c>
    </row>
    <row r="38" spans="2:12" ht="45" x14ac:dyDescent="0.25">
      <c r="B38" s="298"/>
      <c r="C38" s="300"/>
      <c r="D38" s="300"/>
      <c r="E38" s="298"/>
      <c r="F38" s="299"/>
      <c r="H38" s="149" t="s">
        <v>168</v>
      </c>
      <c r="I38" s="281">
        <f>I33*I36*(1/$I$9)*(1/$I$8)*(1/1000)*30%</f>
        <v>209.89505247376312</v>
      </c>
      <c r="J38" s="281">
        <f>J33*J36*(1/$I$9)*(1/$I$8)*(1/1000)*30%</f>
        <v>3358.3208395802098</v>
      </c>
      <c r="K38" s="150" t="s">
        <v>105</v>
      </c>
      <c r="L38" s="151" t="s">
        <v>188</v>
      </c>
    </row>
    <row r="39" spans="2:12" ht="45.75" thickBot="1" x14ac:dyDescent="0.3">
      <c r="B39" s="298"/>
      <c r="C39" s="300"/>
      <c r="D39" s="300"/>
      <c r="E39" s="298"/>
      <c r="F39" s="299"/>
      <c r="H39" s="152" t="s">
        <v>172</v>
      </c>
      <c r="I39" s="281">
        <f>I33*I36*(1/$I$9)*(1/$I$8)*(1/1000)*100%</f>
        <v>699.65017491254378</v>
      </c>
      <c r="J39" s="281">
        <f>J33*J36*(1/$I$9)*(1/$I$8)*(1/1000)*100%</f>
        <v>11194.4027986007</v>
      </c>
      <c r="K39" s="153" t="s">
        <v>105</v>
      </c>
      <c r="L39" s="151" t="s">
        <v>189</v>
      </c>
    </row>
    <row r="40" spans="2:12" x14ac:dyDescent="0.25">
      <c r="B40" s="298"/>
      <c r="C40" s="300"/>
      <c r="D40" s="300"/>
      <c r="E40" s="298"/>
      <c r="F40" s="299"/>
      <c r="H40" s="362" t="s">
        <v>190</v>
      </c>
      <c r="I40" s="363"/>
      <c r="J40" s="363"/>
      <c r="K40" s="363"/>
      <c r="L40" s="364"/>
    </row>
    <row r="41" spans="2:12" x14ac:dyDescent="0.25">
      <c r="H41" s="145" t="s">
        <v>151</v>
      </c>
      <c r="I41" s="76">
        <v>5500</v>
      </c>
      <c r="J41" s="76">
        <v>16500</v>
      </c>
      <c r="K41" s="109" t="s">
        <v>76</v>
      </c>
      <c r="L41" s="188"/>
    </row>
    <row r="42" spans="2:12" ht="30" x14ac:dyDescent="0.25">
      <c r="B42" s="301"/>
      <c r="C42" s="301"/>
      <c r="D42" s="301"/>
      <c r="E42" s="301"/>
      <c r="F42" s="301"/>
      <c r="H42" s="145" t="s">
        <v>155</v>
      </c>
      <c r="I42" s="76">
        <v>12</v>
      </c>
      <c r="J42" s="76">
        <v>24</v>
      </c>
      <c r="K42" s="109" t="s">
        <v>156</v>
      </c>
      <c r="L42" s="188"/>
    </row>
    <row r="43" spans="2:12" ht="30" x14ac:dyDescent="0.25">
      <c r="B43" s="292"/>
      <c r="C43" s="295"/>
      <c r="D43" s="303"/>
      <c r="E43" s="309"/>
      <c r="F43" s="304"/>
      <c r="H43" s="145" t="s">
        <v>159</v>
      </c>
      <c r="I43" s="76">
        <v>350</v>
      </c>
      <c r="J43" s="76">
        <v>350</v>
      </c>
      <c r="K43" s="109" t="s">
        <v>160</v>
      </c>
      <c r="L43" s="188"/>
    </row>
    <row r="44" spans="2:12" x14ac:dyDescent="0.25">
      <c r="B44" s="292"/>
      <c r="C44" s="296"/>
      <c r="D44" s="296"/>
      <c r="E44" s="309"/>
      <c r="F44" s="310"/>
      <c r="H44" s="149" t="s">
        <v>162</v>
      </c>
      <c r="I44" s="187">
        <f>I42*I43</f>
        <v>4200</v>
      </c>
      <c r="J44" s="187">
        <f>J42*J43</f>
        <v>8400</v>
      </c>
      <c r="K44" s="150" t="s">
        <v>156</v>
      </c>
      <c r="L44" s="188"/>
    </row>
    <row r="45" spans="2:12" ht="45" x14ac:dyDescent="0.25">
      <c r="B45" s="261"/>
      <c r="C45" s="303"/>
      <c r="D45" s="303"/>
      <c r="E45" s="309"/>
      <c r="F45" s="292"/>
      <c r="H45" s="149" t="s">
        <v>165</v>
      </c>
      <c r="I45" s="281">
        <f>I41*I44*(1/$I$9)*(1/$I$8)*(1/1000)*10%</f>
        <v>962.01899050474776</v>
      </c>
      <c r="J45" s="281">
        <f>J41*J44*(1/$I$9)*(1/$I$8)*(1/1000)*10%</f>
        <v>5772.1139430284857</v>
      </c>
      <c r="K45" s="150" t="s">
        <v>105</v>
      </c>
      <c r="L45" s="189"/>
    </row>
    <row r="46" spans="2:12" ht="45" x14ac:dyDescent="0.25">
      <c r="B46" s="261"/>
      <c r="C46" s="305"/>
      <c r="D46" s="305"/>
      <c r="E46" s="309"/>
      <c r="F46" s="292"/>
      <c r="H46" s="149" t="s">
        <v>168</v>
      </c>
      <c r="I46" s="281">
        <f>I41*I44*(1/$I$9)*(1/$I$8)*(1/1000)*30%</f>
        <v>2886.0569715142428</v>
      </c>
      <c r="J46" s="281">
        <f>J41*J44*(1/$I$9)*(1/$I$8)*(1/1000)*30%</f>
        <v>17316.341829085457</v>
      </c>
      <c r="K46" s="150" t="s">
        <v>105</v>
      </c>
      <c r="L46" s="189"/>
    </row>
    <row r="47" spans="2:12" ht="45.75" thickBot="1" x14ac:dyDescent="0.3">
      <c r="B47" s="302"/>
      <c r="C47" s="302"/>
      <c r="D47" s="302"/>
      <c r="E47" s="302"/>
      <c r="F47" s="302"/>
      <c r="H47" s="152" t="s">
        <v>172</v>
      </c>
      <c r="I47" s="281">
        <f>I41*I44*(1/$I$9)*(1/$I$8)*(1/1000)*100%</f>
        <v>9620.1899050474767</v>
      </c>
      <c r="J47" s="281">
        <f>J41*J44*(1/$I$9)*(1/$I$8)*(1/1000)*100%</f>
        <v>57721.139430284857</v>
      </c>
      <c r="K47" s="153" t="s">
        <v>105</v>
      </c>
      <c r="L47" s="190"/>
    </row>
    <row r="48" spans="2:12" ht="15.75" thickBot="1" x14ac:dyDescent="0.3">
      <c r="B48" s="310"/>
      <c r="C48" s="306"/>
      <c r="D48" s="306"/>
      <c r="E48" s="309"/>
      <c r="F48" s="304"/>
      <c r="H48" s="333" t="s">
        <v>191</v>
      </c>
      <c r="I48" s="334"/>
      <c r="J48" s="334"/>
      <c r="K48" s="334"/>
      <c r="L48" s="335"/>
    </row>
    <row r="49" spans="2:12" x14ac:dyDescent="0.25">
      <c r="B49" s="302"/>
      <c r="C49" s="302"/>
      <c r="D49" s="302"/>
      <c r="E49" s="302"/>
      <c r="F49" s="302"/>
      <c r="H49" s="158" t="s">
        <v>151</v>
      </c>
      <c r="I49" s="58">
        <v>45000</v>
      </c>
      <c r="J49" s="59">
        <v>90000</v>
      </c>
      <c r="K49" s="109" t="s">
        <v>76</v>
      </c>
      <c r="L49" s="192"/>
    </row>
    <row r="50" spans="2:12" ht="30" x14ac:dyDescent="0.25">
      <c r="B50" s="292"/>
      <c r="C50" s="300"/>
      <c r="D50" s="300"/>
      <c r="E50" s="309"/>
      <c r="F50" s="311"/>
      <c r="H50" s="145" t="s">
        <v>155</v>
      </c>
      <c r="I50" s="76">
        <v>12</v>
      </c>
      <c r="J50" s="76">
        <v>24</v>
      </c>
      <c r="K50" s="109" t="s">
        <v>156</v>
      </c>
      <c r="L50" s="188"/>
    </row>
    <row r="51" spans="2:12" ht="30" x14ac:dyDescent="0.25">
      <c r="B51" s="292"/>
      <c r="C51" s="307"/>
      <c r="D51" s="307"/>
      <c r="E51" s="309"/>
      <c r="F51" s="311"/>
      <c r="H51" s="145" t="s">
        <v>159</v>
      </c>
      <c r="I51" s="76">
        <v>350</v>
      </c>
      <c r="J51" s="76">
        <v>350</v>
      </c>
      <c r="K51" s="109" t="s">
        <v>160</v>
      </c>
      <c r="L51" s="188"/>
    </row>
    <row r="52" spans="2:12" x14ac:dyDescent="0.25">
      <c r="B52" s="292"/>
      <c r="C52" s="300"/>
      <c r="D52" s="300"/>
      <c r="E52" s="309"/>
      <c r="F52" s="311"/>
      <c r="H52" s="149" t="s">
        <v>162</v>
      </c>
      <c r="I52" s="187">
        <f>I50*I51</f>
        <v>4200</v>
      </c>
      <c r="J52" s="187">
        <f>J50*J51</f>
        <v>8400</v>
      </c>
      <c r="K52" s="150" t="s">
        <v>156</v>
      </c>
      <c r="L52" s="188"/>
    </row>
    <row r="53" spans="2:12" ht="45" x14ac:dyDescent="0.25">
      <c r="B53" s="302"/>
      <c r="C53" s="302"/>
      <c r="D53" s="302"/>
      <c r="E53" s="302"/>
      <c r="F53" s="302"/>
      <c r="H53" s="149" t="s">
        <v>165</v>
      </c>
      <c r="I53" s="281">
        <f>I49*I52*(1/$I$9)*(1/$I$8)*(1/1000)*10%</f>
        <v>7871.0644677661185</v>
      </c>
      <c r="J53" s="281">
        <f>J49*J52*(1/$I$9)*(1/$I$8)*(1/1000)*10%</f>
        <v>31484.257871064474</v>
      </c>
      <c r="K53" s="150" t="s">
        <v>105</v>
      </c>
      <c r="L53" s="189"/>
    </row>
    <row r="54" spans="2:12" ht="45" x14ac:dyDescent="0.25">
      <c r="B54" s="292"/>
      <c r="C54" s="300"/>
      <c r="D54" s="300"/>
      <c r="E54" s="309"/>
      <c r="F54" s="311"/>
      <c r="H54" s="149" t="s">
        <v>168</v>
      </c>
      <c r="I54" s="281">
        <f>I49*I52*(1/$I$9)*(1/$I$8)*(1/1000)*30%</f>
        <v>23613.193403298355</v>
      </c>
      <c r="J54" s="281">
        <f>J49*J52*(1/$I$9)*(1/$I$8)*(1/1000)*30%</f>
        <v>94452.773613193422</v>
      </c>
      <c r="K54" s="150" t="s">
        <v>105</v>
      </c>
      <c r="L54" s="189"/>
    </row>
    <row r="55" spans="2:12" ht="45.75" thickBot="1" x14ac:dyDescent="0.3">
      <c r="B55" s="292"/>
      <c r="C55" s="297"/>
      <c r="D55" s="297"/>
      <c r="E55" s="309"/>
      <c r="F55" s="311"/>
      <c r="H55" s="152" t="s">
        <v>172</v>
      </c>
      <c r="I55" s="281">
        <f>I49*I52*(1/$I$9)*(1/$I$8)*(1/1000)*100%</f>
        <v>78710.644677661185</v>
      </c>
      <c r="J55" s="281">
        <f>J49*J52*(1/$I$9)*(1/$I$8)*(1/1000)*100%</f>
        <v>314842.57871064474</v>
      </c>
      <c r="K55" s="153" t="s">
        <v>105</v>
      </c>
      <c r="L55" s="190"/>
    </row>
    <row r="56" spans="2:12" ht="15.75" thickBot="1" x14ac:dyDescent="0.3">
      <c r="B56" s="292"/>
      <c r="C56" s="300"/>
      <c r="D56" s="300"/>
      <c r="E56" s="309"/>
      <c r="F56" s="311"/>
      <c r="H56" s="359" t="s">
        <v>192</v>
      </c>
      <c r="I56" s="360"/>
      <c r="J56" s="360"/>
      <c r="K56" s="360"/>
      <c r="L56" s="361"/>
    </row>
    <row r="57" spans="2:12" x14ac:dyDescent="0.25">
      <c r="B57" s="302"/>
      <c r="C57" s="302"/>
      <c r="D57" s="302"/>
      <c r="E57" s="302"/>
      <c r="F57" s="302"/>
    </row>
    <row r="58" spans="2:12" x14ac:dyDescent="0.25">
      <c r="B58" s="292"/>
      <c r="C58" s="300"/>
      <c r="D58" s="300"/>
      <c r="E58" s="309"/>
      <c r="F58" s="311"/>
    </row>
    <row r="59" spans="2:12" x14ac:dyDescent="0.25">
      <c r="B59" s="292"/>
      <c r="C59" s="297"/>
      <c r="D59" s="297"/>
      <c r="E59" s="309"/>
      <c r="F59" s="311"/>
    </row>
    <row r="60" spans="2:12" x14ac:dyDescent="0.25">
      <c r="B60" s="292"/>
      <c r="C60" s="300"/>
      <c r="D60" s="300"/>
      <c r="E60" s="309"/>
      <c r="F60" s="311"/>
    </row>
    <row r="61" spans="2:12" x14ac:dyDescent="0.25">
      <c r="B61" s="302"/>
      <c r="C61" s="302"/>
      <c r="D61" s="302"/>
      <c r="E61" s="302"/>
      <c r="F61" s="302"/>
    </row>
    <row r="62" spans="2:12" x14ac:dyDescent="0.25">
      <c r="B62" s="292"/>
      <c r="C62" s="306"/>
      <c r="D62" s="306"/>
      <c r="E62" s="309"/>
      <c r="F62" s="312"/>
    </row>
    <row r="63" spans="2:12" x14ac:dyDescent="0.25">
      <c r="B63" s="292"/>
      <c r="C63" s="305"/>
      <c r="D63" s="308"/>
      <c r="E63" s="309"/>
      <c r="F63" s="311"/>
    </row>
  </sheetData>
  <mergeCells count="26">
    <mergeCell ref="B34:F34"/>
    <mergeCell ref="B6:F6"/>
    <mergeCell ref="B7:F7"/>
    <mergeCell ref="B13:B14"/>
    <mergeCell ref="C13:D13"/>
    <mergeCell ref="E13:E14"/>
    <mergeCell ref="F13:F14"/>
    <mergeCell ref="B20:F20"/>
    <mergeCell ref="B22:F22"/>
    <mergeCell ref="B26:F26"/>
    <mergeCell ref="B30:F30"/>
    <mergeCell ref="B15:F15"/>
    <mergeCell ref="H13:H14"/>
    <mergeCell ref="I13:J13"/>
    <mergeCell ref="K13:K14"/>
    <mergeCell ref="L13:L14"/>
    <mergeCell ref="H5:I5"/>
    <mergeCell ref="H6:L6"/>
    <mergeCell ref="H7:L7"/>
    <mergeCell ref="H56:L56"/>
    <mergeCell ref="H15:L15"/>
    <mergeCell ref="H16:L16"/>
    <mergeCell ref="H24:L24"/>
    <mergeCell ref="H32:L32"/>
    <mergeCell ref="H40:L40"/>
    <mergeCell ref="H48:L48"/>
  </mergeCells>
  <hyperlinks>
    <hyperlink ref="F21" r:id="rId1" xr:uid="{D1E88EF7-D4B7-4B17-AE1B-3C7BEF482B5D}"/>
  </hyperlinks>
  <pageMargins left="0.7" right="0.7" top="0.75" bottom="0.75" header="0.3" footer="0.3"/>
  <pageSetup orientation="portrait" horizontalDpi="1200" verticalDpi="1200" r:id="rId2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4A957B-8C68-435E-BC37-93614DDDC757}">
  <dimension ref="A2:R99"/>
  <sheetViews>
    <sheetView zoomScale="80" zoomScaleNormal="80" workbookViewId="0">
      <selection activeCell="B4" sqref="B4"/>
    </sheetView>
  </sheetViews>
  <sheetFormatPr defaultColWidth="15.7109375" defaultRowHeight="15" x14ac:dyDescent="0.25"/>
  <cols>
    <col min="1" max="1" width="8.42578125" customWidth="1"/>
    <col min="2" max="2" width="27.7109375" bestFit="1" customWidth="1"/>
    <col min="5" max="5" width="17.140625" customWidth="1"/>
    <col min="6" max="6" width="83" style="98" customWidth="1"/>
    <col min="7" max="7" width="9.42578125" customWidth="1"/>
    <col min="8" max="8" width="23.28515625" style="56" customWidth="1"/>
    <col min="9" max="11" width="15.7109375" style="56"/>
    <col min="12" max="12" width="96.28515625" style="56" customWidth="1"/>
    <col min="13" max="13" width="7.42578125" customWidth="1"/>
    <col min="18" max="18" width="92.7109375" bestFit="1" customWidth="1"/>
  </cols>
  <sheetData>
    <row r="2" spans="1:18" ht="18.75" x14ac:dyDescent="0.3">
      <c r="B2" s="22" t="s">
        <v>59</v>
      </c>
    </row>
    <row r="3" spans="1:18" ht="15.75" thickBot="1" x14ac:dyDescent="0.3">
      <c r="B3" s="96"/>
    </row>
    <row r="4" spans="1:18" ht="19.5" thickBot="1" x14ac:dyDescent="0.35">
      <c r="B4" s="94" t="s">
        <v>64</v>
      </c>
      <c r="H4" s="383" t="s">
        <v>5</v>
      </c>
      <c r="I4" s="384"/>
      <c r="N4" s="367" t="s">
        <v>6</v>
      </c>
      <c r="O4" s="368"/>
    </row>
    <row r="5" spans="1:18" ht="23.25" customHeight="1" thickBot="1" x14ac:dyDescent="0.3">
      <c r="B5" s="376" t="s">
        <v>69</v>
      </c>
      <c r="C5" s="376"/>
      <c r="D5" s="376"/>
      <c r="E5" s="376"/>
      <c r="F5" s="377"/>
      <c r="H5" s="408" t="s">
        <v>69</v>
      </c>
      <c r="I5" s="408"/>
      <c r="J5" s="408"/>
      <c r="K5" s="408"/>
      <c r="L5" s="409"/>
      <c r="N5" s="369" t="s">
        <v>69</v>
      </c>
      <c r="O5" s="389"/>
      <c r="P5" s="389"/>
      <c r="Q5" s="389"/>
      <c r="R5" s="390"/>
    </row>
    <row r="6" spans="1:18" x14ac:dyDescent="0.25">
      <c r="A6" t="s">
        <v>193</v>
      </c>
      <c r="B6" s="97" t="s">
        <v>72</v>
      </c>
      <c r="C6" s="98"/>
      <c r="D6" s="98"/>
      <c r="E6" s="98"/>
      <c r="F6" s="99"/>
      <c r="H6" s="371" t="s">
        <v>72</v>
      </c>
      <c r="I6" s="371"/>
      <c r="J6" s="371"/>
      <c r="K6" s="371"/>
      <c r="L6" s="372"/>
      <c r="N6" s="371" t="s">
        <v>72</v>
      </c>
      <c r="O6" s="394"/>
      <c r="P6" s="394"/>
      <c r="Q6" s="394"/>
      <c r="R6" s="395"/>
    </row>
    <row r="7" spans="1:18" ht="76.5" customHeight="1" x14ac:dyDescent="0.25">
      <c r="B7" s="421" t="s">
        <v>194</v>
      </c>
      <c r="C7" s="421"/>
      <c r="D7" s="421"/>
      <c r="E7" s="421"/>
      <c r="F7" s="422"/>
      <c r="H7" s="336" t="s">
        <v>195</v>
      </c>
      <c r="I7" s="336"/>
      <c r="J7" s="336"/>
      <c r="K7" s="336"/>
      <c r="L7" s="410"/>
      <c r="N7" s="336" t="s">
        <v>196</v>
      </c>
      <c r="O7" s="337"/>
      <c r="P7" s="337"/>
      <c r="Q7" s="337"/>
      <c r="R7" s="338"/>
    </row>
    <row r="8" spans="1:18" ht="36.950000000000003" customHeight="1" x14ac:dyDescent="0.25">
      <c r="B8" s="421" t="s">
        <v>197</v>
      </c>
      <c r="C8" s="421"/>
      <c r="D8" s="421"/>
      <c r="E8" s="421"/>
      <c r="F8" s="422"/>
      <c r="H8" s="336" t="s">
        <v>198</v>
      </c>
      <c r="I8" s="336"/>
      <c r="J8" s="336"/>
      <c r="K8" s="336"/>
      <c r="L8" s="410"/>
      <c r="N8" s="396" t="s">
        <v>199</v>
      </c>
      <c r="O8" s="397"/>
      <c r="P8" s="397"/>
      <c r="Q8" s="397"/>
      <c r="R8" s="398"/>
    </row>
    <row r="9" spans="1:18" x14ac:dyDescent="0.25">
      <c r="B9" s="418"/>
      <c r="C9" s="418"/>
      <c r="D9" s="418"/>
      <c r="E9" s="418"/>
      <c r="F9" s="423"/>
      <c r="H9" s="411"/>
      <c r="I9" s="411"/>
      <c r="J9" s="411"/>
      <c r="K9" s="411"/>
      <c r="L9" s="412"/>
      <c r="N9" s="139" t="s">
        <v>200</v>
      </c>
      <c r="O9" s="261"/>
      <c r="P9" s="261"/>
      <c r="Q9" s="140"/>
      <c r="R9" s="141"/>
    </row>
    <row r="10" spans="1:18" x14ac:dyDescent="0.25">
      <c r="B10" s="418" t="s">
        <v>199</v>
      </c>
      <c r="C10" s="418"/>
      <c r="D10" s="418"/>
      <c r="E10" s="418"/>
      <c r="F10" s="423"/>
      <c r="H10" s="396" t="s">
        <v>199</v>
      </c>
      <c r="I10" s="396"/>
      <c r="J10" s="396"/>
      <c r="K10" s="396"/>
      <c r="L10" s="413"/>
      <c r="N10" s="166" t="s">
        <v>201</v>
      </c>
      <c r="O10" s="261"/>
      <c r="P10" s="261"/>
      <c r="Q10" s="140"/>
      <c r="R10" s="141"/>
    </row>
    <row r="11" spans="1:18" x14ac:dyDescent="0.25">
      <c r="B11" s="418" t="s">
        <v>200</v>
      </c>
      <c r="C11" s="418"/>
      <c r="D11" s="418"/>
      <c r="E11" s="418"/>
      <c r="F11" s="423"/>
      <c r="H11" s="139" t="s">
        <v>200</v>
      </c>
      <c r="I11" s="261"/>
      <c r="J11" s="261"/>
      <c r="K11" s="140"/>
      <c r="L11" s="141"/>
      <c r="N11" s="139"/>
      <c r="O11" s="261"/>
      <c r="P11" s="261"/>
      <c r="Q11" s="140"/>
      <c r="R11" s="141"/>
    </row>
    <row r="12" spans="1:18" x14ac:dyDescent="0.25">
      <c r="B12" s="418" t="s">
        <v>202</v>
      </c>
      <c r="C12" s="418"/>
      <c r="D12" s="418"/>
      <c r="E12" s="418"/>
      <c r="F12" s="423"/>
      <c r="H12" s="139" t="s">
        <v>203</v>
      </c>
      <c r="I12" s="261"/>
      <c r="J12" s="261"/>
      <c r="K12" s="140"/>
      <c r="L12" s="141"/>
      <c r="N12" s="139"/>
      <c r="O12" s="261"/>
      <c r="P12" s="261"/>
      <c r="Q12" s="140"/>
      <c r="R12" s="141"/>
    </row>
    <row r="13" spans="1:18" ht="15.75" thickBot="1" x14ac:dyDescent="0.3">
      <c r="B13" s="418" t="s">
        <v>204</v>
      </c>
      <c r="C13" s="418"/>
      <c r="D13" s="418"/>
      <c r="E13" s="418"/>
      <c r="F13" s="423"/>
      <c r="H13" s="139"/>
      <c r="I13" s="261"/>
      <c r="J13" s="261"/>
      <c r="K13" s="140"/>
      <c r="L13" s="141"/>
      <c r="N13" s="163"/>
      <c r="O13" s="164"/>
      <c r="P13" s="164"/>
      <c r="Q13" s="164"/>
      <c r="R13" s="165"/>
    </row>
    <row r="14" spans="1:18" ht="15.75" thickBot="1" x14ac:dyDescent="0.3">
      <c r="B14" s="418"/>
      <c r="C14" s="419"/>
      <c r="D14" s="419"/>
      <c r="E14" s="419"/>
      <c r="F14" s="420"/>
      <c r="H14" s="139" t="s">
        <v>201</v>
      </c>
      <c r="I14" s="261"/>
      <c r="J14" s="261"/>
      <c r="K14" s="140"/>
      <c r="L14" s="141"/>
      <c r="N14" s="365" t="s">
        <v>65</v>
      </c>
      <c r="O14" s="392" t="s">
        <v>66</v>
      </c>
      <c r="P14" s="393"/>
      <c r="Q14" s="365" t="s">
        <v>67</v>
      </c>
      <c r="R14" s="365" t="s">
        <v>68</v>
      </c>
    </row>
    <row r="15" spans="1:18" ht="15.75" thickBot="1" x14ac:dyDescent="0.3">
      <c r="B15" s="101" t="s">
        <v>205</v>
      </c>
      <c r="C15" s="100"/>
      <c r="D15" s="100"/>
      <c r="E15" s="100"/>
      <c r="F15" s="91"/>
      <c r="H15" s="139"/>
      <c r="I15" s="261"/>
      <c r="J15" s="261"/>
      <c r="K15" s="140"/>
      <c r="L15" s="141"/>
      <c r="N15" s="391"/>
      <c r="O15" s="250" t="s">
        <v>70</v>
      </c>
      <c r="P15" s="251" t="s">
        <v>71</v>
      </c>
      <c r="Q15" s="391"/>
      <c r="R15" s="391"/>
    </row>
    <row r="16" spans="1:18" ht="15.75" thickBot="1" x14ac:dyDescent="0.3">
      <c r="B16" s="101"/>
      <c r="C16" s="100"/>
      <c r="D16" s="100"/>
      <c r="E16" s="100"/>
      <c r="F16" s="91"/>
      <c r="H16" s="139"/>
      <c r="I16" s="261"/>
      <c r="J16" s="261"/>
      <c r="K16" s="140"/>
      <c r="L16" s="141"/>
      <c r="N16" s="362" t="s">
        <v>150</v>
      </c>
      <c r="O16" s="363"/>
      <c r="P16" s="363"/>
      <c r="Q16" s="363"/>
      <c r="R16" s="364"/>
    </row>
    <row r="17" spans="2:18" ht="30" x14ac:dyDescent="0.25">
      <c r="B17" s="101"/>
      <c r="C17" s="100"/>
      <c r="D17" s="100"/>
      <c r="E17" s="100"/>
      <c r="F17" s="91"/>
      <c r="H17" s="139"/>
      <c r="I17" s="261"/>
      <c r="J17" s="261"/>
      <c r="K17" s="140"/>
      <c r="L17" s="141"/>
      <c r="N17" s="170" t="s">
        <v>151</v>
      </c>
      <c r="O17" s="171">
        <v>4.5</v>
      </c>
      <c r="P17" s="172">
        <v>20</v>
      </c>
      <c r="Q17" s="173" t="s">
        <v>76</v>
      </c>
      <c r="R17" s="174" t="s">
        <v>152</v>
      </c>
    </row>
    <row r="18" spans="2:18" ht="45.75" thickBot="1" x14ac:dyDescent="0.3">
      <c r="B18" s="102"/>
      <c r="C18" s="103"/>
      <c r="D18" s="103"/>
      <c r="E18" s="103"/>
      <c r="F18" s="104"/>
      <c r="H18" s="142"/>
      <c r="I18" s="143"/>
      <c r="J18" s="143"/>
      <c r="K18" s="143"/>
      <c r="L18" s="144"/>
      <c r="N18" s="145" t="s">
        <v>155</v>
      </c>
      <c r="O18" s="76">
        <v>6</v>
      </c>
      <c r="P18" s="167">
        <v>12</v>
      </c>
      <c r="Q18" s="109" t="s">
        <v>156</v>
      </c>
      <c r="R18" s="148" t="s">
        <v>157</v>
      </c>
    </row>
    <row r="19" spans="2:18" ht="45.75" thickBot="1" x14ac:dyDescent="0.3">
      <c r="B19" s="378" t="s">
        <v>65</v>
      </c>
      <c r="C19" s="416" t="s">
        <v>66</v>
      </c>
      <c r="D19" s="417"/>
      <c r="E19" s="378" t="s">
        <v>67</v>
      </c>
      <c r="F19" s="378" t="s">
        <v>68</v>
      </c>
      <c r="H19" s="399" t="s">
        <v>65</v>
      </c>
      <c r="I19" s="401" t="s">
        <v>66</v>
      </c>
      <c r="J19" s="401"/>
      <c r="K19" s="399" t="s">
        <v>67</v>
      </c>
      <c r="L19" s="399" t="s">
        <v>68</v>
      </c>
      <c r="N19" s="145" t="s">
        <v>159</v>
      </c>
      <c r="O19" s="76">
        <v>350</v>
      </c>
      <c r="P19" s="167">
        <v>350</v>
      </c>
      <c r="Q19" s="109" t="s">
        <v>160</v>
      </c>
      <c r="R19" s="148" t="s">
        <v>157</v>
      </c>
    </row>
    <row r="20" spans="2:18" ht="30.75" thickBot="1" x14ac:dyDescent="0.3">
      <c r="B20" s="415"/>
      <c r="C20" s="291" t="s">
        <v>70</v>
      </c>
      <c r="D20" s="290" t="s">
        <v>71</v>
      </c>
      <c r="E20" s="415"/>
      <c r="F20" s="415"/>
      <c r="H20" s="400"/>
      <c r="I20" s="155" t="s">
        <v>70</v>
      </c>
      <c r="J20" s="157" t="s">
        <v>71</v>
      </c>
      <c r="K20" s="400"/>
      <c r="L20" s="400"/>
      <c r="N20" s="149" t="s">
        <v>162</v>
      </c>
      <c r="O20" s="175">
        <f>O18*O19</f>
        <v>2100</v>
      </c>
      <c r="P20" s="175">
        <f>P18*P19</f>
        <v>4200</v>
      </c>
      <c r="Q20" s="150" t="s">
        <v>156</v>
      </c>
      <c r="R20" s="148" t="s">
        <v>157</v>
      </c>
    </row>
    <row r="21" spans="2:18" ht="31.5" customHeight="1" x14ac:dyDescent="0.25">
      <c r="B21" s="362" t="s">
        <v>73</v>
      </c>
      <c r="C21" s="363"/>
      <c r="D21" s="363"/>
      <c r="E21" s="363"/>
      <c r="F21" s="364"/>
      <c r="H21" s="402" t="s">
        <v>206</v>
      </c>
      <c r="I21" s="403"/>
      <c r="J21" s="403"/>
      <c r="K21" s="403"/>
      <c r="L21" s="404"/>
      <c r="N21" s="149" t="s">
        <v>207</v>
      </c>
      <c r="O21" s="281">
        <f>O17*O20*(1/0.4)*(1/5.54)*(1/1000)*(10/100)</f>
        <v>0.42644404332129976</v>
      </c>
      <c r="P21" s="281">
        <f>P17*P20*(1/0.4)*(1/5.54)*(1/1000)*(10/100)</f>
        <v>3.7906137184115529</v>
      </c>
      <c r="Q21" s="150" t="s">
        <v>105</v>
      </c>
      <c r="R21" s="151" t="s">
        <v>208</v>
      </c>
    </row>
    <row r="22" spans="2:18" ht="75" x14ac:dyDescent="0.25">
      <c r="B22" s="129" t="s">
        <v>75</v>
      </c>
      <c r="C22" s="105">
        <v>10</v>
      </c>
      <c r="D22" s="105">
        <v>10</v>
      </c>
      <c r="E22" s="106" t="s">
        <v>76</v>
      </c>
      <c r="F22" s="130" t="s">
        <v>77</v>
      </c>
      <c r="H22" s="158" t="s">
        <v>92</v>
      </c>
      <c r="I22" s="146">
        <v>2.7</v>
      </c>
      <c r="J22" s="147">
        <v>2.7</v>
      </c>
      <c r="K22" s="109" t="s">
        <v>209</v>
      </c>
      <c r="L22" s="148" t="s">
        <v>210</v>
      </c>
      <c r="N22" s="149" t="s">
        <v>211</v>
      </c>
      <c r="O22" s="281">
        <f>O17*O20*(1/0.4)*(1/5.54)*(1/1000)*(30/100)</f>
        <v>1.2793321299638991</v>
      </c>
      <c r="P22" s="281">
        <f>P17*P20*(1/0.4)*(1/5.54)*(1/1000)*(30/100)</f>
        <v>11.371841155234659</v>
      </c>
      <c r="Q22" s="150" t="s">
        <v>105</v>
      </c>
      <c r="R22" s="151" t="s">
        <v>212</v>
      </c>
    </row>
    <row r="23" spans="2:18" ht="75.75" thickBot="1" x14ac:dyDescent="0.3">
      <c r="B23" s="129" t="s">
        <v>79</v>
      </c>
      <c r="C23" s="107">
        <v>1</v>
      </c>
      <c r="D23" s="107">
        <v>1</v>
      </c>
      <c r="E23" s="106"/>
      <c r="F23" s="131" t="s">
        <v>80</v>
      </c>
      <c r="H23" s="145" t="s">
        <v>101</v>
      </c>
      <c r="I23" s="76">
        <v>5200</v>
      </c>
      <c r="J23" s="76">
        <v>35000</v>
      </c>
      <c r="K23" s="109" t="s">
        <v>102</v>
      </c>
      <c r="L23" s="148"/>
      <c r="N23" s="152" t="s">
        <v>213</v>
      </c>
      <c r="O23" s="281">
        <f>O17*O20*(1/0.43)*(1/5.54)*(1/1000)</f>
        <v>3.9669213332213924</v>
      </c>
      <c r="P23" s="281">
        <f>P17*P20*(1/0.43)*(1/5.54)*(1/1000)</f>
        <v>35.261522961967941</v>
      </c>
      <c r="Q23" s="153" t="s">
        <v>105</v>
      </c>
      <c r="R23" s="151" t="s">
        <v>214</v>
      </c>
    </row>
    <row r="24" spans="2:18" ht="27" customHeight="1" thickBot="1" x14ac:dyDescent="0.3">
      <c r="B24" s="129" t="s">
        <v>114</v>
      </c>
      <c r="C24" s="255">
        <f>C22*C23*8760*1/1000</f>
        <v>87.6</v>
      </c>
      <c r="D24" s="255">
        <f>D22*D23*8760*1/1000</f>
        <v>87.6</v>
      </c>
      <c r="E24" s="106" t="s">
        <v>83</v>
      </c>
      <c r="F24" s="132" t="s">
        <v>215</v>
      </c>
      <c r="H24" s="149" t="s">
        <v>104</v>
      </c>
      <c r="I24" s="162">
        <f>(I22/100)*I23</f>
        <v>140.4</v>
      </c>
      <c r="J24" s="162">
        <f>(J22/100)*J23</f>
        <v>945.00000000000011</v>
      </c>
      <c r="K24" s="150" t="s">
        <v>216</v>
      </c>
      <c r="L24" s="148"/>
      <c r="N24" s="333" t="s">
        <v>217</v>
      </c>
      <c r="O24" s="334"/>
      <c r="P24" s="334"/>
      <c r="Q24" s="334"/>
      <c r="R24" s="385"/>
    </row>
    <row r="25" spans="2:18" ht="44.45" customHeight="1" x14ac:dyDescent="0.25">
      <c r="B25" s="373" t="s">
        <v>218</v>
      </c>
      <c r="C25" s="374"/>
      <c r="D25" s="374"/>
      <c r="E25" s="374"/>
      <c r="F25" s="375"/>
      <c r="H25" s="149" t="s">
        <v>207</v>
      </c>
      <c r="I25" s="263">
        <f>I24*9.62*(1/5.54)*(1/1000)*0.1</f>
        <v>2.4379927797833937E-2</v>
      </c>
      <c r="J25" s="264">
        <f>J24*9.62*(1/5.54)*(1/1000)*0.1</f>
        <v>0.1640956678700361</v>
      </c>
      <c r="K25" s="150" t="s">
        <v>105</v>
      </c>
      <c r="L25" s="151" t="s">
        <v>219</v>
      </c>
      <c r="N25" s="168" t="s">
        <v>151</v>
      </c>
      <c r="O25" s="76">
        <v>20</v>
      </c>
      <c r="P25" s="76">
        <v>55</v>
      </c>
      <c r="Q25" s="109" t="s">
        <v>76</v>
      </c>
      <c r="R25" s="148" t="s">
        <v>152</v>
      </c>
    </row>
    <row r="26" spans="2:18" ht="45" x14ac:dyDescent="0.25">
      <c r="B26" s="129" t="s">
        <v>220</v>
      </c>
      <c r="C26" s="267">
        <f>C24*(1/0.4)*(1/0.9)*(10^3)*(1/5.54)*(1/10^3)*(10/100)</f>
        <v>4.3922984356197352</v>
      </c>
      <c r="D26" s="267">
        <f>D24*(1/0.4)*(1/0.9)*(10^3)*(1/5.54)*(1/10^3)*(10/100)</f>
        <v>4.3922984356197352</v>
      </c>
      <c r="E26" s="106" t="s">
        <v>105</v>
      </c>
      <c r="F26" s="132" t="s">
        <v>221</v>
      </c>
      <c r="H26" s="149" t="s">
        <v>211</v>
      </c>
      <c r="I26" s="263">
        <f>I24*9.62*(1/5.54)*(1/1000)*0.3</f>
        <v>7.31397833935018E-2</v>
      </c>
      <c r="J26" s="264">
        <f>J24*9.62*(1/5.54)*(1/1000)*0.3</f>
        <v>0.49228700361010824</v>
      </c>
      <c r="K26" s="150" t="s">
        <v>105</v>
      </c>
      <c r="L26" s="151" t="s">
        <v>222</v>
      </c>
      <c r="N26" s="145" t="s">
        <v>155</v>
      </c>
      <c r="O26" s="76">
        <v>6</v>
      </c>
      <c r="P26" s="76">
        <v>12</v>
      </c>
      <c r="Q26" s="109" t="s">
        <v>156</v>
      </c>
      <c r="R26" s="148" t="s">
        <v>157</v>
      </c>
    </row>
    <row r="27" spans="2:18" ht="45" x14ac:dyDescent="0.25">
      <c r="B27" s="373" t="s">
        <v>223</v>
      </c>
      <c r="C27" s="374"/>
      <c r="D27" s="374"/>
      <c r="E27" s="374"/>
      <c r="F27" s="375"/>
      <c r="H27" s="159" t="s">
        <v>213</v>
      </c>
      <c r="I27" s="265">
        <f>I24*9.62*(0.35/0.43)*(1/5.54)*(1/1000)</f>
        <v>0.19844127277306692</v>
      </c>
      <c r="J27" s="265">
        <f>J24*9.62*(0.35/0.43)*(1/5.54)*(1/1000)</f>
        <v>1.3356624128956425</v>
      </c>
      <c r="K27" s="160" t="s">
        <v>105</v>
      </c>
      <c r="L27" s="161" t="s">
        <v>224</v>
      </c>
      <c r="N27" s="145" t="s">
        <v>159</v>
      </c>
      <c r="O27" s="76">
        <v>350</v>
      </c>
      <c r="P27" s="76">
        <v>350</v>
      </c>
      <c r="Q27" s="109" t="s">
        <v>160</v>
      </c>
      <c r="R27" s="148" t="s">
        <v>157</v>
      </c>
    </row>
    <row r="28" spans="2:18" ht="45" x14ac:dyDescent="0.25">
      <c r="B28" s="129" t="s">
        <v>220</v>
      </c>
      <c r="C28" s="267">
        <f>C24*(1/0.4)*(1/0.9)*(10^3)*(1/5.54)*(1/10^3)*(30/100)</f>
        <v>13.176895306859207</v>
      </c>
      <c r="D28" s="267">
        <f>D24*(1/0.4)*(1/0.9)*(10^3)*(1/5.54)*(1/10^3)*(30/100)</f>
        <v>13.176895306859207</v>
      </c>
      <c r="E28" s="106" t="s">
        <v>105</v>
      </c>
      <c r="F28" s="132" t="s">
        <v>225</v>
      </c>
      <c r="H28" s="405" t="s">
        <v>226</v>
      </c>
      <c r="I28" s="406"/>
      <c r="J28" s="406"/>
      <c r="K28" s="406"/>
      <c r="L28" s="407"/>
      <c r="N28" s="149" t="s">
        <v>162</v>
      </c>
      <c r="O28" s="175">
        <f>O26*O27</f>
        <v>2100</v>
      </c>
      <c r="P28" s="175">
        <f>P26*P27</f>
        <v>4200</v>
      </c>
      <c r="Q28" s="150" t="s">
        <v>156</v>
      </c>
      <c r="R28" s="148" t="s">
        <v>157</v>
      </c>
    </row>
    <row r="29" spans="2:18" ht="75" x14ac:dyDescent="0.25">
      <c r="B29" s="373" t="s">
        <v>227</v>
      </c>
      <c r="C29" s="374"/>
      <c r="D29" s="374"/>
      <c r="E29" s="374"/>
      <c r="F29" s="375"/>
      <c r="H29" s="158" t="s">
        <v>92</v>
      </c>
      <c r="I29" s="146">
        <v>7.6</v>
      </c>
      <c r="J29" s="147">
        <v>7.6</v>
      </c>
      <c r="K29" s="109" t="s">
        <v>209</v>
      </c>
      <c r="L29" s="148" t="s">
        <v>210</v>
      </c>
      <c r="N29" s="149" t="s">
        <v>207</v>
      </c>
      <c r="O29" s="281">
        <f>O25*O28*(1/0.4)*(1/5.54)*(1/1000)*(10/100)</f>
        <v>1.8953068592057765</v>
      </c>
      <c r="P29" s="281">
        <f>P25*P28*(1/0.4)*(1/5.54)*(1/1000)*(10/100)</f>
        <v>10.42418772563177</v>
      </c>
      <c r="Q29" s="150" t="s">
        <v>105</v>
      </c>
      <c r="R29" s="151" t="s">
        <v>228</v>
      </c>
    </row>
    <row r="30" spans="2:18" ht="75" x14ac:dyDescent="0.25">
      <c r="B30" s="129" t="s">
        <v>220</v>
      </c>
      <c r="C30" s="267">
        <f>C24*(1/0.43)*(1/0.9)*(10^3)*(1/5.54)*(1/10^3)</f>
        <v>40.858590098788241</v>
      </c>
      <c r="D30" s="267">
        <f>D24*(1/0.43)*(1/0.9)*(10^3)*(1/5.54)*(1/10^3)</f>
        <v>40.858590098788241</v>
      </c>
      <c r="E30" s="106" t="s">
        <v>105</v>
      </c>
      <c r="F30" s="132" t="s">
        <v>229</v>
      </c>
      <c r="H30" s="145" t="s">
        <v>101</v>
      </c>
      <c r="I30" s="76">
        <v>5200</v>
      </c>
      <c r="J30" s="76">
        <v>35000</v>
      </c>
      <c r="K30" s="109" t="s">
        <v>102</v>
      </c>
      <c r="L30" s="148"/>
      <c r="N30" s="149" t="s">
        <v>211</v>
      </c>
      <c r="O30" s="281">
        <f>O25*O28*(1/0.4)*(1/5.54)*(1/1000)*(30/100)</f>
        <v>5.6859205776173294</v>
      </c>
      <c r="P30" s="281">
        <f>P25*P28*(1/0.4)*(1/5.54)*(1/1000)*(30/100)</f>
        <v>31.272563176895307</v>
      </c>
      <c r="Q30" s="150" t="s">
        <v>105</v>
      </c>
      <c r="R30" s="151" t="s">
        <v>230</v>
      </c>
    </row>
    <row r="31" spans="2:18" ht="75.75" thickBot="1" x14ac:dyDescent="0.3">
      <c r="B31" s="373" t="s">
        <v>231</v>
      </c>
      <c r="C31" s="374"/>
      <c r="D31" s="374"/>
      <c r="E31" s="374"/>
      <c r="F31" s="375"/>
      <c r="H31" s="149" t="s">
        <v>104</v>
      </c>
      <c r="I31" s="162">
        <f>(I29/100)*I30</f>
        <v>395.2</v>
      </c>
      <c r="J31" s="162">
        <f>(J29/100)*J30</f>
        <v>2660</v>
      </c>
      <c r="K31" s="150" t="s">
        <v>216</v>
      </c>
      <c r="L31" s="148"/>
      <c r="N31" s="152" t="s">
        <v>213</v>
      </c>
      <c r="O31" s="281">
        <f>O25*O28*(1/0.43)*(1/5.54)*(1/1000)</f>
        <v>17.630761480983971</v>
      </c>
      <c r="P31" s="281">
        <f>P25*P28*(1/0.43)*(1/5.54)*(1/1000)</f>
        <v>96.96918814541182</v>
      </c>
      <c r="Q31" s="153" t="s">
        <v>105</v>
      </c>
      <c r="R31" s="151" t="s">
        <v>232</v>
      </c>
    </row>
    <row r="32" spans="2:18" ht="45.75" thickBot="1" x14ac:dyDescent="0.3">
      <c r="B32" s="129" t="s">
        <v>85</v>
      </c>
      <c r="C32" s="107">
        <v>0.4</v>
      </c>
      <c r="D32" s="107">
        <v>0.7</v>
      </c>
      <c r="E32" s="106" t="s">
        <v>87</v>
      </c>
      <c r="F32" s="132"/>
      <c r="H32" s="149" t="s">
        <v>207</v>
      </c>
      <c r="I32" s="264">
        <f>I31*9.62*(1/5.54)*(1/1000)*0.1</f>
        <v>6.8624981949458486E-2</v>
      </c>
      <c r="J32" s="264">
        <f>J31*9.62*(1/5.54)*(1/1000)*0.1</f>
        <v>0.46189891696750901</v>
      </c>
      <c r="K32" s="150" t="s">
        <v>105</v>
      </c>
      <c r="L32" s="151" t="s">
        <v>233</v>
      </c>
      <c r="N32" s="362" t="s">
        <v>184</v>
      </c>
      <c r="O32" s="334"/>
      <c r="P32" s="334"/>
      <c r="Q32" s="334"/>
      <c r="R32" s="335"/>
    </row>
    <row r="33" spans="2:18" ht="75.75" thickBot="1" x14ac:dyDescent="0.3">
      <c r="B33" s="129" t="s">
        <v>220</v>
      </c>
      <c r="C33" s="267">
        <f>C24*(1/C32)*(10^3)*(1/5.54)*(1/10^3)</f>
        <v>39.530685920577618</v>
      </c>
      <c r="D33" s="267">
        <f>D24*(1/D32)*(10^3)*(1/5.54)*(1/10^3)</f>
        <v>22.588963383187213</v>
      </c>
      <c r="E33" s="106" t="s">
        <v>105</v>
      </c>
      <c r="F33" s="133" t="s">
        <v>234</v>
      </c>
      <c r="H33" s="149" t="s">
        <v>211</v>
      </c>
      <c r="I33" s="264">
        <f>I31*9.62*(1/5.54)*(1/1000)*0.3</f>
        <v>0.20587494584837546</v>
      </c>
      <c r="J33" s="264">
        <f>J31*9.62*(1/5.54)*(1/1000)*0.3</f>
        <v>1.3856967509025269</v>
      </c>
      <c r="K33" s="150" t="s">
        <v>105</v>
      </c>
      <c r="L33" s="151" t="s">
        <v>235</v>
      </c>
      <c r="N33" s="145" t="s">
        <v>151</v>
      </c>
      <c r="O33" s="76">
        <v>800</v>
      </c>
      <c r="P33" s="76">
        <v>6400</v>
      </c>
      <c r="Q33" s="109" t="s">
        <v>76</v>
      </c>
      <c r="R33" s="148" t="s">
        <v>236</v>
      </c>
    </row>
    <row r="34" spans="2:18" ht="45.75" thickBot="1" x14ac:dyDescent="0.3">
      <c r="B34" s="362" t="s">
        <v>103</v>
      </c>
      <c r="C34" s="363"/>
      <c r="D34" s="363"/>
      <c r="E34" s="363"/>
      <c r="F34" s="364"/>
      <c r="H34" s="152" t="s">
        <v>213</v>
      </c>
      <c r="I34" s="264">
        <f>I31*9.62*(0.35/0.43)*(1/5.54)*(1/1000)</f>
        <v>0.55857543447233649</v>
      </c>
      <c r="J34" s="264">
        <f>J31*9.62*(0.35/0.43)*(1/5.54)*(1/1000)</f>
        <v>3.7596423474099572</v>
      </c>
      <c r="K34" s="153" t="s">
        <v>105</v>
      </c>
      <c r="L34" s="151" t="s">
        <v>237</v>
      </c>
      <c r="N34" s="145" t="s">
        <v>155</v>
      </c>
      <c r="O34" s="76">
        <v>6</v>
      </c>
      <c r="P34" s="76">
        <v>12</v>
      </c>
      <c r="Q34" s="109" t="s">
        <v>156</v>
      </c>
      <c r="R34" s="148" t="s">
        <v>157</v>
      </c>
    </row>
    <row r="35" spans="2:18" ht="45.75" thickBot="1" x14ac:dyDescent="0.3">
      <c r="B35" s="108" t="s">
        <v>106</v>
      </c>
      <c r="C35" s="76">
        <v>50</v>
      </c>
      <c r="D35" s="76">
        <v>70</v>
      </c>
      <c r="E35" s="109" t="s">
        <v>107</v>
      </c>
      <c r="F35" s="77" t="s">
        <v>108</v>
      </c>
      <c r="H35" s="333" t="s">
        <v>238</v>
      </c>
      <c r="I35" s="333"/>
      <c r="J35" s="333"/>
      <c r="K35" s="333"/>
      <c r="L35" s="388"/>
      <c r="N35" s="145" t="s">
        <v>159</v>
      </c>
      <c r="O35" s="76">
        <v>350</v>
      </c>
      <c r="P35" s="76">
        <v>350</v>
      </c>
      <c r="Q35" s="109" t="s">
        <v>160</v>
      </c>
      <c r="R35" s="148" t="s">
        <v>157</v>
      </c>
    </row>
    <row r="36" spans="2:18" ht="30" x14ac:dyDescent="0.25">
      <c r="B36" s="110" t="s">
        <v>110</v>
      </c>
      <c r="C36" s="79">
        <v>20</v>
      </c>
      <c r="D36" s="79">
        <v>20</v>
      </c>
      <c r="E36" s="111"/>
      <c r="F36" s="112"/>
      <c r="H36" s="145" t="s">
        <v>92</v>
      </c>
      <c r="I36" s="146">
        <v>35</v>
      </c>
      <c r="J36" s="147">
        <v>35</v>
      </c>
      <c r="K36" s="109" t="s">
        <v>209</v>
      </c>
      <c r="L36" s="148" t="s">
        <v>210</v>
      </c>
      <c r="N36" s="149" t="s">
        <v>162</v>
      </c>
      <c r="O36" s="175">
        <f>O34*O35</f>
        <v>2100</v>
      </c>
      <c r="P36" s="175">
        <f>P34*P35</f>
        <v>4200</v>
      </c>
      <c r="Q36" s="150" t="s">
        <v>156</v>
      </c>
      <c r="R36" s="148" t="s">
        <v>157</v>
      </c>
    </row>
    <row r="37" spans="2:18" ht="75" x14ac:dyDescent="0.25">
      <c r="B37" s="113" t="s">
        <v>111</v>
      </c>
      <c r="C37" s="79">
        <v>300</v>
      </c>
      <c r="D37" s="79">
        <v>300</v>
      </c>
      <c r="E37" s="114" t="s">
        <v>112</v>
      </c>
      <c r="F37" s="112" t="s">
        <v>113</v>
      </c>
      <c r="H37" s="145" t="s">
        <v>101</v>
      </c>
      <c r="I37" s="76">
        <v>35000</v>
      </c>
      <c r="J37" s="76">
        <v>70000</v>
      </c>
      <c r="K37" s="109" t="s">
        <v>102</v>
      </c>
      <c r="L37" s="148"/>
      <c r="N37" s="149" t="s">
        <v>207</v>
      </c>
      <c r="O37" s="284">
        <f>O33*O36*(1/0.4)*(1/5.54)*(1/1000)*(10/100)</f>
        <v>75.812274368231058</v>
      </c>
      <c r="P37" s="284">
        <f>P33*P36*(1/0.4)*(1/5.54)*(1/1000)*(10/100)</f>
        <v>1212.9963898916969</v>
      </c>
      <c r="Q37" s="150" t="s">
        <v>105</v>
      </c>
      <c r="R37" s="151" t="s">
        <v>239</v>
      </c>
    </row>
    <row r="38" spans="2:18" ht="75.75" thickBot="1" x14ac:dyDescent="0.3">
      <c r="B38" s="129" t="s">
        <v>114</v>
      </c>
      <c r="C38" s="234">
        <f>C35*C36*C37*1/1000</f>
        <v>300</v>
      </c>
      <c r="D38" s="234">
        <f>D35*D36*D37*1/1000</f>
        <v>420</v>
      </c>
      <c r="E38" s="115" t="s">
        <v>83</v>
      </c>
      <c r="F38" s="116" t="s">
        <v>240</v>
      </c>
      <c r="H38" s="149" t="s">
        <v>104</v>
      </c>
      <c r="I38" s="162">
        <f>(I36/100)*I37</f>
        <v>12250</v>
      </c>
      <c r="J38" s="162">
        <f>(J36/100)*J37</f>
        <v>24500</v>
      </c>
      <c r="K38" s="150" t="s">
        <v>216</v>
      </c>
      <c r="L38" s="148"/>
      <c r="N38" s="149" t="s">
        <v>211</v>
      </c>
      <c r="O38" s="284">
        <f>O33*O36*(1/0.4)*(1/5.54)*(1/1000)*(30/100)</f>
        <v>227.43682310469316</v>
      </c>
      <c r="P38" s="284">
        <f>P33*P36*(1/0.4)*(1/5.54)*(1/1000)*(30/100)</f>
        <v>3638.9891696750906</v>
      </c>
      <c r="Q38" s="150" t="s">
        <v>105</v>
      </c>
      <c r="R38" s="151" t="s">
        <v>241</v>
      </c>
    </row>
    <row r="39" spans="2:18" ht="75.75" thickBot="1" x14ac:dyDescent="0.3">
      <c r="B39" s="373" t="s">
        <v>218</v>
      </c>
      <c r="C39" s="374"/>
      <c r="D39" s="374"/>
      <c r="E39" s="374"/>
      <c r="F39" s="375"/>
      <c r="H39" s="149" t="s">
        <v>207</v>
      </c>
      <c r="I39" s="264">
        <f>I38*10.6*(1/5.54)*(1/1000)*0.1</f>
        <v>2.343862815884477</v>
      </c>
      <c r="J39" s="264">
        <f>J38*10.6*(1/5.54)*(1/1000)*0.1</f>
        <v>4.687725631768954</v>
      </c>
      <c r="K39" s="150" t="s">
        <v>105</v>
      </c>
      <c r="L39" s="151" t="s">
        <v>242</v>
      </c>
      <c r="N39" s="152" t="s">
        <v>213</v>
      </c>
      <c r="O39" s="284">
        <f>O33*O36*(1/0.43)*(1/5.54)*(1/1000)</f>
        <v>705.23045923935865</v>
      </c>
      <c r="P39" s="284">
        <f>P33*P36*(1/0.43)*(1/5.54)*(1/1000)</f>
        <v>11283.687347829738</v>
      </c>
      <c r="Q39" s="153" t="s">
        <v>105</v>
      </c>
      <c r="R39" s="151" t="s">
        <v>243</v>
      </c>
    </row>
    <row r="40" spans="2:18" ht="75.75" thickBot="1" x14ac:dyDescent="0.3">
      <c r="B40" s="129" t="s">
        <v>220</v>
      </c>
      <c r="C40" s="267">
        <f>C38*(1/0.4)*(1/0.9)*(10^3)*(1/5.54)*(1/10^3)*(10/100)</f>
        <v>15.042117930204578</v>
      </c>
      <c r="D40" s="267">
        <f>D38*(1/0.4)*(1/0.9)*(10^3)*(1/5.54)*(1/10^3)*(10/100)</f>
        <v>21.058965102286408</v>
      </c>
      <c r="E40" s="106" t="s">
        <v>105</v>
      </c>
      <c r="F40" s="133" t="s">
        <v>244</v>
      </c>
      <c r="H40" s="149" t="s">
        <v>211</v>
      </c>
      <c r="I40" s="264">
        <f>I38*10.6*(1/5.54)*(1/1000)*0.3</f>
        <v>7.0315884476534301</v>
      </c>
      <c r="J40" s="264">
        <f>J38*10.6*(1/5.54)*(1/1000)*0.3</f>
        <v>14.06317689530686</v>
      </c>
      <c r="K40" s="150" t="s">
        <v>105</v>
      </c>
      <c r="L40" s="151" t="s">
        <v>245</v>
      </c>
      <c r="N40" s="386" t="s">
        <v>246</v>
      </c>
      <c r="O40" s="387"/>
      <c r="P40" s="387"/>
      <c r="Q40" s="387"/>
      <c r="R40" s="385"/>
    </row>
    <row r="41" spans="2:18" ht="45.75" thickBot="1" x14ac:dyDescent="0.3">
      <c r="B41" s="373" t="s">
        <v>223</v>
      </c>
      <c r="C41" s="374"/>
      <c r="D41" s="374"/>
      <c r="E41" s="374"/>
      <c r="F41" s="375"/>
      <c r="H41" s="152" t="s">
        <v>213</v>
      </c>
      <c r="I41" s="264">
        <f>I38*10.6*(0.4/0.43)*(1/5.54)*(1/1000)</f>
        <v>21.803375031483505</v>
      </c>
      <c r="J41" s="264">
        <f>J38*10.6*(0.4/0.43)*(1/5.54)*(1/1000)</f>
        <v>43.606750062967009</v>
      </c>
      <c r="K41" s="153" t="s">
        <v>105</v>
      </c>
      <c r="L41" s="151" t="s">
        <v>247</v>
      </c>
      <c r="N41" s="145" t="s">
        <v>151</v>
      </c>
      <c r="O41" s="76">
        <v>5500</v>
      </c>
      <c r="P41" s="76">
        <v>16500</v>
      </c>
      <c r="Q41" s="109" t="s">
        <v>76</v>
      </c>
      <c r="R41" s="148" t="s">
        <v>248</v>
      </c>
    </row>
    <row r="42" spans="2:18" ht="75.75" thickBot="1" x14ac:dyDescent="0.3">
      <c r="B42" s="129" t="s">
        <v>220</v>
      </c>
      <c r="C42" s="267">
        <f>C38*(1/0.4)*(1/0.9)*(10^3)*(1/5.54)*(1/10^3)*(30/100)</f>
        <v>45.126353790613727</v>
      </c>
      <c r="D42" s="267">
        <f>D38*(1/0.4)*(1/0.9)*(10^3)*(1/5.54)*(1/10^3)*(30/100)</f>
        <v>63.176895306859208</v>
      </c>
      <c r="E42" s="106" t="s">
        <v>105</v>
      </c>
      <c r="F42" s="133" t="s">
        <v>249</v>
      </c>
      <c r="H42" s="333" t="s">
        <v>116</v>
      </c>
      <c r="I42" s="334"/>
      <c r="J42" s="334"/>
      <c r="K42" s="334"/>
      <c r="L42" s="385"/>
      <c r="N42" s="145" t="s">
        <v>155</v>
      </c>
      <c r="O42" s="76">
        <v>12</v>
      </c>
      <c r="P42" s="76">
        <v>24</v>
      </c>
      <c r="Q42" s="109" t="s">
        <v>156</v>
      </c>
      <c r="R42" s="148" t="s">
        <v>157</v>
      </c>
    </row>
    <row r="43" spans="2:18" ht="45" x14ac:dyDescent="0.25">
      <c r="B43" s="373" t="s">
        <v>227</v>
      </c>
      <c r="C43" s="374"/>
      <c r="D43" s="374"/>
      <c r="E43" s="374"/>
      <c r="F43" s="375"/>
      <c r="H43" s="145" t="s">
        <v>92</v>
      </c>
      <c r="I43" s="146">
        <v>37</v>
      </c>
      <c r="J43" s="147">
        <v>37</v>
      </c>
      <c r="K43" s="109" t="s">
        <v>209</v>
      </c>
      <c r="L43" s="148" t="s">
        <v>210</v>
      </c>
      <c r="N43" s="145" t="s">
        <v>159</v>
      </c>
      <c r="O43" s="76">
        <v>350</v>
      </c>
      <c r="P43" s="76">
        <v>350</v>
      </c>
      <c r="Q43" s="109" t="s">
        <v>160</v>
      </c>
      <c r="R43" s="148" t="s">
        <v>157</v>
      </c>
    </row>
    <row r="44" spans="2:18" ht="75" x14ac:dyDescent="0.25">
      <c r="B44" s="129" t="s">
        <v>220</v>
      </c>
      <c r="C44" s="267">
        <f>C38*(1/0.43)*(1/0.9)*(10^3)*(1/5.54)*(1/10^3)</f>
        <v>139.92667842050767</v>
      </c>
      <c r="D44" s="267">
        <f>D38*(1/0.43)*(1/0.9)*(10^3)*(1/5.54)*(1/10^3)</f>
        <v>195.89734978871078</v>
      </c>
      <c r="E44" s="106" t="s">
        <v>105</v>
      </c>
      <c r="F44" s="133" t="s">
        <v>250</v>
      </c>
      <c r="H44" s="145" t="s">
        <v>101</v>
      </c>
      <c r="I44" s="76">
        <v>35000</v>
      </c>
      <c r="J44" s="76">
        <v>70000</v>
      </c>
      <c r="K44" s="109" t="s">
        <v>102</v>
      </c>
      <c r="L44" s="148"/>
      <c r="N44" s="149" t="s">
        <v>162</v>
      </c>
      <c r="O44" s="175">
        <f>O42*O43</f>
        <v>4200</v>
      </c>
      <c r="P44" s="175">
        <f>P42*P43</f>
        <v>8400</v>
      </c>
      <c r="Q44" s="150" t="s">
        <v>156</v>
      </c>
      <c r="R44" s="148" t="s">
        <v>157</v>
      </c>
    </row>
    <row r="45" spans="2:18" ht="75" x14ac:dyDescent="0.25">
      <c r="B45" s="373" t="s">
        <v>231</v>
      </c>
      <c r="C45" s="374"/>
      <c r="D45" s="374"/>
      <c r="E45" s="374"/>
      <c r="F45" s="375"/>
      <c r="H45" s="149" t="s">
        <v>104</v>
      </c>
      <c r="I45" s="162">
        <f>(I43/100)*I44</f>
        <v>12950</v>
      </c>
      <c r="J45" s="162">
        <f>(J43/100)*J44</f>
        <v>25900</v>
      </c>
      <c r="K45" s="150" t="s">
        <v>216</v>
      </c>
      <c r="L45" s="148"/>
      <c r="N45" s="149" t="s">
        <v>207</v>
      </c>
      <c r="O45" s="284">
        <f>O41*O44*(1/0.4)*(1/5.54)*(1/1000)*(10/100)</f>
        <v>1042.4187725631771</v>
      </c>
      <c r="P45" s="284">
        <f>P41*P44*(1/0.4)*(1/5.54)*(1/1000)*(10/100)</f>
        <v>6254.512635379062</v>
      </c>
      <c r="Q45" s="150" t="s">
        <v>105</v>
      </c>
      <c r="R45" s="151" t="s">
        <v>251</v>
      </c>
    </row>
    <row r="46" spans="2:18" ht="75" x14ac:dyDescent="0.25">
      <c r="B46" s="129" t="s">
        <v>85</v>
      </c>
      <c r="C46" s="107">
        <v>0.4</v>
      </c>
      <c r="D46" s="107">
        <v>0.7</v>
      </c>
      <c r="E46" s="106" t="s">
        <v>87</v>
      </c>
      <c r="F46" s="132"/>
      <c r="H46" s="149" t="s">
        <v>207</v>
      </c>
      <c r="I46" s="264">
        <f>I45*10.6*(1/5.54)*(1/1000)*0.1</f>
        <v>2.4777978339350182</v>
      </c>
      <c r="J46" s="264">
        <f>J45*10.6*(1/5.54)*(1/1000)*0.1</f>
        <v>4.9555956678700364</v>
      </c>
      <c r="K46" s="150" t="s">
        <v>105</v>
      </c>
      <c r="L46" s="151" t="s">
        <v>242</v>
      </c>
      <c r="N46" s="149" t="s">
        <v>211</v>
      </c>
      <c r="O46" s="284">
        <f>O41*O44*(1/0.4)*(1/5.54)*(1/1000)*(30/100)</f>
        <v>3127.2563176895305</v>
      </c>
      <c r="P46" s="284">
        <f>P41*P44*(1/0.4)*(1/5.54)*(1/1000)*(30/100)</f>
        <v>18763.537906137186</v>
      </c>
      <c r="Q46" s="150" t="s">
        <v>105</v>
      </c>
      <c r="R46" s="151" t="s">
        <v>252</v>
      </c>
    </row>
    <row r="47" spans="2:18" ht="75.75" thickBot="1" x14ac:dyDescent="0.3">
      <c r="B47" s="129" t="s">
        <v>220</v>
      </c>
      <c r="C47" s="267">
        <f>C38*(1/C46)*(10^3)*(1/5.54)*(1/10^3)</f>
        <v>135.37906137184117</v>
      </c>
      <c r="D47" s="267">
        <f>D38*(1/D46)*(10^3)*(1/5.54)*(1/10^3)</f>
        <v>108.30324909747293</v>
      </c>
      <c r="E47" s="106" t="s">
        <v>105</v>
      </c>
      <c r="F47" s="133" t="s">
        <v>253</v>
      </c>
      <c r="H47" s="149" t="s">
        <v>211</v>
      </c>
      <c r="I47" s="264">
        <f>I45*10.6*(1/5.54)*(1/1000)*0.3</f>
        <v>7.4333935018050541</v>
      </c>
      <c r="J47" s="264">
        <f>J45*10.6*(1/5.54)*(1/1000)*0.3</f>
        <v>14.866787003610108</v>
      </c>
      <c r="K47" s="150" t="s">
        <v>105</v>
      </c>
      <c r="L47" s="151" t="s">
        <v>254</v>
      </c>
      <c r="N47" s="152" t="s">
        <v>213</v>
      </c>
      <c r="O47" s="284">
        <f>O41*O44*(1/0.43)*(1/5.54)*(1/1000)</f>
        <v>9696.9188145411827</v>
      </c>
      <c r="P47" s="284">
        <f>P41*P44*(1/0.43)*(1/5.54)*(1/1000)</f>
        <v>58181.512887247089</v>
      </c>
      <c r="Q47" s="153" t="s">
        <v>105</v>
      </c>
      <c r="R47" s="151" t="s">
        <v>255</v>
      </c>
    </row>
    <row r="48" spans="2:18" ht="45.75" thickBot="1" x14ac:dyDescent="0.3">
      <c r="B48" s="362" t="s">
        <v>119</v>
      </c>
      <c r="C48" s="363"/>
      <c r="D48" s="363"/>
      <c r="E48" s="363"/>
      <c r="F48" s="364"/>
      <c r="H48" s="152" t="s">
        <v>213</v>
      </c>
      <c r="I48" s="266">
        <f>I45*10.6*(0.4/0.43)*(1/5.54)*(1/1000)</f>
        <v>23.049282176139705</v>
      </c>
      <c r="J48" s="266">
        <f>J45*10.6*(0.4/0.43)*(1/5.54)*(1/1000)</f>
        <v>46.098564352279411</v>
      </c>
      <c r="K48" s="153" t="s">
        <v>105</v>
      </c>
      <c r="L48" s="154" t="s">
        <v>256</v>
      </c>
      <c r="N48" s="333" t="s">
        <v>257</v>
      </c>
      <c r="O48" s="334"/>
      <c r="P48" s="334"/>
      <c r="Q48" s="334"/>
      <c r="R48" s="335"/>
    </row>
    <row r="49" spans="2:18" ht="30" x14ac:dyDescent="0.25">
      <c r="B49" s="129" t="s">
        <v>120</v>
      </c>
      <c r="C49" s="117">
        <v>30000</v>
      </c>
      <c r="D49" s="117">
        <v>30000</v>
      </c>
      <c r="E49" s="106" t="s">
        <v>121</v>
      </c>
      <c r="F49" s="130" t="s">
        <v>122</v>
      </c>
      <c r="N49" s="168" t="s">
        <v>151</v>
      </c>
      <c r="O49" s="58">
        <v>45000</v>
      </c>
      <c r="P49" s="59">
        <v>90000</v>
      </c>
      <c r="Q49" s="109" t="s">
        <v>76</v>
      </c>
      <c r="R49" s="169" t="s">
        <v>258</v>
      </c>
    </row>
    <row r="50" spans="2:18" ht="45" x14ac:dyDescent="0.25">
      <c r="B50" s="129" t="s">
        <v>123</v>
      </c>
      <c r="C50" s="118">
        <v>50</v>
      </c>
      <c r="D50" s="118">
        <v>50</v>
      </c>
      <c r="E50" s="106" t="s">
        <v>124</v>
      </c>
      <c r="F50" s="131" t="s">
        <v>125</v>
      </c>
      <c r="N50" s="145" t="s">
        <v>155</v>
      </c>
      <c r="O50" s="76">
        <v>12</v>
      </c>
      <c r="P50" s="76">
        <v>24</v>
      </c>
      <c r="Q50" s="109" t="s">
        <v>156</v>
      </c>
      <c r="R50" s="148" t="s">
        <v>157</v>
      </c>
    </row>
    <row r="51" spans="2:18" ht="45" x14ac:dyDescent="0.25">
      <c r="B51" s="134" t="s">
        <v>114</v>
      </c>
      <c r="C51" s="258">
        <f>C49*C50*1/1000</f>
        <v>1500</v>
      </c>
      <c r="D51" s="118">
        <f>D49*D50*1/1000</f>
        <v>1500</v>
      </c>
      <c r="E51" s="106" t="s">
        <v>83</v>
      </c>
      <c r="F51" s="135" t="s">
        <v>259</v>
      </c>
      <c r="N51" s="145" t="s">
        <v>159</v>
      </c>
      <c r="O51" s="76">
        <v>350</v>
      </c>
      <c r="P51" s="76">
        <v>350</v>
      </c>
      <c r="Q51" s="109" t="s">
        <v>160</v>
      </c>
      <c r="R51" s="148" t="s">
        <v>157</v>
      </c>
    </row>
    <row r="52" spans="2:18" ht="30" x14ac:dyDescent="0.25">
      <c r="B52" s="373" t="s">
        <v>218</v>
      </c>
      <c r="C52" s="374"/>
      <c r="D52" s="374"/>
      <c r="E52" s="374"/>
      <c r="F52" s="375"/>
      <c r="N52" s="149" t="s">
        <v>162</v>
      </c>
      <c r="O52" s="175">
        <f>O50*O51</f>
        <v>4200</v>
      </c>
      <c r="P52" s="175">
        <f>P50*P51</f>
        <v>8400</v>
      </c>
      <c r="Q52" s="150" t="s">
        <v>156</v>
      </c>
      <c r="R52" s="148" t="s">
        <v>157</v>
      </c>
    </row>
    <row r="53" spans="2:18" ht="75" x14ac:dyDescent="0.25">
      <c r="B53" s="129" t="s">
        <v>220</v>
      </c>
      <c r="C53" s="267">
        <f>C51*(1/0.4)*(1/0.9)*(10^3)*(1/5.54)*(1/10^3)*(10/100)</f>
        <v>75.210589651022872</v>
      </c>
      <c r="D53" s="267">
        <f>D51*(1/0.4)*(1/0.9)*(10^3)*(1/5.54)*(1/10^3)*(10/100)</f>
        <v>75.210589651022872</v>
      </c>
      <c r="E53" s="106" t="s">
        <v>105</v>
      </c>
      <c r="F53" s="133" t="s">
        <v>260</v>
      </c>
      <c r="N53" s="149" t="s">
        <v>207</v>
      </c>
      <c r="O53" s="284">
        <f>O49*O52*(1/0.4)*(1/5.54)*(1/1000)*(10/100)</f>
        <v>8528.8808664259941</v>
      </c>
      <c r="P53" s="284">
        <f>P49*P52*(1/0.4)*(1/5.54)*(1/1000)*(10/100)</f>
        <v>34115.523465703976</v>
      </c>
      <c r="Q53" s="150" t="s">
        <v>105</v>
      </c>
      <c r="R53" s="151" t="s">
        <v>261</v>
      </c>
    </row>
    <row r="54" spans="2:18" ht="75" x14ac:dyDescent="0.25">
      <c r="B54" s="373" t="s">
        <v>223</v>
      </c>
      <c r="C54" s="374"/>
      <c r="D54" s="374"/>
      <c r="E54" s="374"/>
      <c r="F54" s="375"/>
      <c r="N54" s="149" t="s">
        <v>211</v>
      </c>
      <c r="O54" s="284">
        <f>O49*O52*(1/0.4)*(1/5.54)*(1/1000)*(30/100)</f>
        <v>25586.64259927798</v>
      </c>
      <c r="P54" s="284">
        <f>P49*P52*(1/0.4)*(1/5.54)*(1/1000)*(30/100)</f>
        <v>102346.57039711192</v>
      </c>
      <c r="Q54" s="150" t="s">
        <v>105</v>
      </c>
      <c r="R54" s="151" t="s">
        <v>262</v>
      </c>
    </row>
    <row r="55" spans="2:18" ht="75.75" thickBot="1" x14ac:dyDescent="0.3">
      <c r="B55" s="129" t="s">
        <v>220</v>
      </c>
      <c r="C55" s="267">
        <f>C51*(1/0.4)*(1/0.9)*(10^3)*(1/5.54)*(1/10^3)*(30/100)</f>
        <v>225.63176895306862</v>
      </c>
      <c r="D55" s="267">
        <f>D51*(1/0.4)*(1/0.9)*(10^3)*(1/5.54)*(1/10^3)*(30/100)</f>
        <v>225.63176895306862</v>
      </c>
      <c r="E55" s="106" t="s">
        <v>105</v>
      </c>
      <c r="F55" s="133" t="s">
        <v>263</v>
      </c>
      <c r="N55" s="152" t="s">
        <v>213</v>
      </c>
      <c r="O55" s="285">
        <f>O49*O52*(1/0.43)*(1/5.54)*(1/1000)</f>
        <v>79338.426664427854</v>
      </c>
      <c r="P55" s="285">
        <f>P49*P52*(1/0.43)*(1/5.54)*(1/1000)</f>
        <v>317353.70665771142</v>
      </c>
      <c r="Q55" s="153" t="s">
        <v>105</v>
      </c>
      <c r="R55" s="154" t="s">
        <v>264</v>
      </c>
    </row>
    <row r="56" spans="2:18" x14ac:dyDescent="0.25">
      <c r="B56" s="373" t="s">
        <v>227</v>
      </c>
      <c r="C56" s="374"/>
      <c r="D56" s="374"/>
      <c r="E56" s="374"/>
      <c r="F56" s="375"/>
    </row>
    <row r="57" spans="2:18" ht="45" x14ac:dyDescent="0.25">
      <c r="B57" s="129" t="s">
        <v>220</v>
      </c>
      <c r="C57" s="267">
        <f>C51*(1/0.43)*(1/0.9)*(10^3)*(1/5.54)*(1/10^3)</f>
        <v>699.63339210253844</v>
      </c>
      <c r="D57" s="267">
        <f>D51*(1/0.43)*(1/0.9)*(10^3)*(1/5.54)*(1/10^3)</f>
        <v>699.63339210253844</v>
      </c>
      <c r="E57" s="106" t="s">
        <v>105</v>
      </c>
      <c r="F57" s="133" t="s">
        <v>265</v>
      </c>
    </row>
    <row r="58" spans="2:18" x14ac:dyDescent="0.25">
      <c r="B58" s="373" t="s">
        <v>231</v>
      </c>
      <c r="C58" s="374"/>
      <c r="D58" s="374"/>
      <c r="E58" s="374"/>
      <c r="F58" s="375"/>
    </row>
    <row r="59" spans="2:18" x14ac:dyDescent="0.25">
      <c r="B59" s="129" t="s">
        <v>85</v>
      </c>
      <c r="C59" s="107">
        <v>0.4</v>
      </c>
      <c r="D59" s="107">
        <v>0.7</v>
      </c>
      <c r="E59" s="106" t="s">
        <v>87</v>
      </c>
      <c r="F59" s="132"/>
    </row>
    <row r="60" spans="2:18" ht="75.75" thickBot="1" x14ac:dyDescent="0.3">
      <c r="B60" s="129" t="s">
        <v>220</v>
      </c>
      <c r="C60" s="267">
        <f>C51*(1/C59)*(10^3)*(1/5.54)*(1/10^3)</f>
        <v>676.89530685920579</v>
      </c>
      <c r="D60" s="267">
        <f>D51*(1/D59)*(10^3)*(1/5.54)*(1/10^3)</f>
        <v>386.79731820526058</v>
      </c>
      <c r="E60" s="106" t="s">
        <v>105</v>
      </c>
      <c r="F60" s="133" t="s">
        <v>266</v>
      </c>
    </row>
    <row r="61" spans="2:18" ht="15.75" thickBot="1" x14ac:dyDescent="0.3">
      <c r="B61" s="333" t="s">
        <v>129</v>
      </c>
      <c r="C61" s="334"/>
      <c r="D61" s="334"/>
      <c r="E61" s="334"/>
      <c r="F61" s="335"/>
    </row>
    <row r="62" spans="2:18" ht="45" x14ac:dyDescent="0.25">
      <c r="B62" s="108" t="s">
        <v>120</v>
      </c>
      <c r="C62" s="89">
        <v>0.01</v>
      </c>
      <c r="D62" s="89">
        <v>1.54</v>
      </c>
      <c r="E62" s="109" t="s">
        <v>130</v>
      </c>
      <c r="F62" s="119" t="s">
        <v>267</v>
      </c>
    </row>
    <row r="63" spans="2:18" ht="30" x14ac:dyDescent="0.25">
      <c r="B63" s="120" t="s">
        <v>132</v>
      </c>
      <c r="C63" s="79">
        <v>50</v>
      </c>
      <c r="D63" s="79">
        <v>100</v>
      </c>
      <c r="E63" s="121" t="s">
        <v>133</v>
      </c>
      <c r="F63" s="119" t="s">
        <v>125</v>
      </c>
    </row>
    <row r="64" spans="2:18" ht="45.75" thickBot="1" x14ac:dyDescent="0.3">
      <c r="B64" s="122" t="s">
        <v>114</v>
      </c>
      <c r="C64" s="237">
        <f>C62*C63</f>
        <v>0.5</v>
      </c>
      <c r="D64" s="259">
        <f>D62*D63</f>
        <v>154</v>
      </c>
      <c r="E64" s="106" t="s">
        <v>83</v>
      </c>
      <c r="F64" s="123" t="s">
        <v>268</v>
      </c>
    </row>
    <row r="65" spans="2:6" x14ac:dyDescent="0.25">
      <c r="B65" s="373" t="s">
        <v>218</v>
      </c>
      <c r="C65" s="374"/>
      <c r="D65" s="374"/>
      <c r="E65" s="414"/>
      <c r="F65" s="375"/>
    </row>
    <row r="66" spans="2:6" ht="75" x14ac:dyDescent="0.25">
      <c r="B66" s="129" t="s">
        <v>220</v>
      </c>
      <c r="C66" s="267">
        <f>C64*(1/0.4)*(1/0.9)*(10^3)*(1/5.54)*(1/10^3)*(10/100)</f>
        <v>2.5070196550340956E-2</v>
      </c>
      <c r="D66" s="267">
        <f>D64*(1/0.4)*(1/0.9)*(10^3)*(1/5.54)*(1/10^3)*(10/100)</f>
        <v>7.7216205375050144</v>
      </c>
      <c r="E66" s="106" t="s">
        <v>105</v>
      </c>
      <c r="F66" s="133" t="s">
        <v>269</v>
      </c>
    </row>
    <row r="67" spans="2:6" x14ac:dyDescent="0.25">
      <c r="B67" s="373" t="s">
        <v>223</v>
      </c>
      <c r="C67" s="374"/>
      <c r="D67" s="374"/>
      <c r="E67" s="374"/>
      <c r="F67" s="375"/>
    </row>
    <row r="68" spans="2:6" ht="75" x14ac:dyDescent="0.25">
      <c r="B68" s="129" t="s">
        <v>220</v>
      </c>
      <c r="C68" s="267">
        <f>C64*(1/0.4)*(1/0.9)*(10^3)*(1/5.54)*(1/10^3)*(30/100)</f>
        <v>7.5210589651022869E-2</v>
      </c>
      <c r="D68" s="267">
        <f>D64*(1/0.4)*(1/0.9)*(10^3)*(1/5.54)*(1/10^3)*(30/100)</f>
        <v>23.16486161251504</v>
      </c>
      <c r="E68" s="106" t="s">
        <v>105</v>
      </c>
      <c r="F68" s="133" t="s">
        <v>270</v>
      </c>
    </row>
    <row r="69" spans="2:6" x14ac:dyDescent="0.25">
      <c r="B69" s="373" t="s">
        <v>227</v>
      </c>
      <c r="C69" s="374"/>
      <c r="D69" s="374"/>
      <c r="E69" s="374"/>
      <c r="F69" s="375"/>
    </row>
    <row r="70" spans="2:6" ht="75" x14ac:dyDescent="0.25">
      <c r="B70" s="129" t="s">
        <v>220</v>
      </c>
      <c r="C70" s="267">
        <f>C64*(1/0.43)*(1/0.9)*(10^3)*(1/5.54)*(1/10^3)</f>
        <v>0.23321113070084615</v>
      </c>
      <c r="D70" s="267">
        <f>D64*(1/0.43)*(1/0.9)*(10^3)*(1/5.54)*(1/10^3)</f>
        <v>71.829028255860621</v>
      </c>
      <c r="E70" s="106" t="s">
        <v>105</v>
      </c>
      <c r="F70" s="133" t="s">
        <v>271</v>
      </c>
    </row>
    <row r="71" spans="2:6" x14ac:dyDescent="0.25">
      <c r="B71" s="373" t="s">
        <v>231</v>
      </c>
      <c r="C71" s="374"/>
      <c r="D71" s="374"/>
      <c r="E71" s="374"/>
      <c r="F71" s="375"/>
    </row>
    <row r="72" spans="2:6" x14ac:dyDescent="0.25">
      <c r="B72" s="129" t="s">
        <v>85</v>
      </c>
      <c r="C72" s="107">
        <v>0.4</v>
      </c>
      <c r="D72" s="107">
        <v>0.7</v>
      </c>
      <c r="E72" s="106" t="s">
        <v>87</v>
      </c>
      <c r="F72" s="132"/>
    </row>
    <row r="73" spans="2:6" ht="45.75" thickBot="1" x14ac:dyDescent="0.3">
      <c r="B73" s="129" t="s">
        <v>220</v>
      </c>
      <c r="C73" s="267">
        <f>C64*(1/C72)*(10^3)*(1/5.54)*(1/10^3)</f>
        <v>0.22563176895306861</v>
      </c>
      <c r="D73" s="267">
        <f>D64*(1/D72)*(10^3)*(1/5.54)*(1/10^3)</f>
        <v>39.711191335740075</v>
      </c>
      <c r="E73" s="106" t="s">
        <v>105</v>
      </c>
      <c r="F73" s="133" t="s">
        <v>272</v>
      </c>
    </row>
    <row r="74" spans="2:6" x14ac:dyDescent="0.25">
      <c r="B74" s="362" t="s">
        <v>273</v>
      </c>
      <c r="C74" s="363"/>
      <c r="D74" s="363"/>
      <c r="E74" s="363"/>
      <c r="F74" s="364"/>
    </row>
    <row r="75" spans="2:6" x14ac:dyDescent="0.25">
      <c r="B75" s="129" t="s">
        <v>120</v>
      </c>
      <c r="C75" s="124">
        <v>0.01</v>
      </c>
      <c r="D75" s="125">
        <v>0.1</v>
      </c>
      <c r="E75" s="106" t="s">
        <v>137</v>
      </c>
      <c r="F75" s="130"/>
    </row>
    <row r="76" spans="2:6" x14ac:dyDescent="0.25">
      <c r="B76" s="129" t="s">
        <v>138</v>
      </c>
      <c r="C76" s="126">
        <v>1</v>
      </c>
      <c r="D76" s="126">
        <v>1</v>
      </c>
      <c r="E76" s="106"/>
      <c r="F76" s="131" t="s">
        <v>125</v>
      </c>
    </row>
    <row r="77" spans="2:6" ht="45" x14ac:dyDescent="0.25">
      <c r="B77" s="134" t="s">
        <v>114</v>
      </c>
      <c r="C77" s="260">
        <f>C75*C76*8760</f>
        <v>87.600000000000009</v>
      </c>
      <c r="D77" s="118">
        <f>D75*D76*8760</f>
        <v>876</v>
      </c>
      <c r="E77" s="106" t="s">
        <v>83</v>
      </c>
      <c r="F77" s="135" t="s">
        <v>274</v>
      </c>
    </row>
    <row r="78" spans="2:6" x14ac:dyDescent="0.25">
      <c r="B78" s="373" t="s">
        <v>218</v>
      </c>
      <c r="C78" s="374"/>
      <c r="D78" s="374"/>
      <c r="E78" s="374"/>
      <c r="F78" s="375"/>
    </row>
    <row r="79" spans="2:6" ht="75" x14ac:dyDescent="0.25">
      <c r="B79" s="129" t="s">
        <v>220</v>
      </c>
      <c r="C79" s="267">
        <f>C77*(1/0.4)*(1/0.9)*(10^3)*(1/5.54)*(1/10^3)*(10/100)</f>
        <v>4.3922984356197361</v>
      </c>
      <c r="D79" s="268">
        <f>D77*(1/0.4)*(1/0.9)*(10^3)*(1/5.54)*(1/10^3)*(10/100)</f>
        <v>43.922984356197361</v>
      </c>
      <c r="E79" s="106" t="s">
        <v>105</v>
      </c>
      <c r="F79" s="133" t="s">
        <v>275</v>
      </c>
    </row>
    <row r="80" spans="2:6" x14ac:dyDescent="0.25">
      <c r="B80" s="373" t="s">
        <v>223</v>
      </c>
      <c r="C80" s="374"/>
      <c r="D80" s="374"/>
      <c r="E80" s="374"/>
      <c r="F80" s="375"/>
    </row>
    <row r="81" spans="2:6" ht="75" x14ac:dyDescent="0.25">
      <c r="B81" s="129" t="s">
        <v>220</v>
      </c>
      <c r="C81" s="268">
        <f>C77*(1/0.4)*(1/0.9)*(10^3)*(1/5.54)*(1/10^3)*(30/100)</f>
        <v>13.176895306859208</v>
      </c>
      <c r="D81" s="269">
        <f>D77*(1/0.4)*(1/0.9)*(10^3)*(1/5.54)*(1/10^3)*(30/100)</f>
        <v>131.76895306859208</v>
      </c>
      <c r="E81" s="106" t="s">
        <v>105</v>
      </c>
      <c r="F81" s="133" t="s">
        <v>276</v>
      </c>
    </row>
    <row r="82" spans="2:6" x14ac:dyDescent="0.25">
      <c r="B82" s="373" t="s">
        <v>227</v>
      </c>
      <c r="C82" s="374"/>
      <c r="D82" s="374"/>
      <c r="E82" s="374"/>
      <c r="F82" s="375"/>
    </row>
    <row r="83" spans="2:6" ht="75" x14ac:dyDescent="0.25">
      <c r="B83" s="129" t="s">
        <v>220</v>
      </c>
      <c r="C83" s="268">
        <f>C77*(1/0.43)*(1/0.9)*(10^3)*(1/5.54)*(1/10^3)</f>
        <v>40.858590098788248</v>
      </c>
      <c r="D83" s="269">
        <f>D77*(1/0.43)*(1/0.9)*(10^3)*(1/5.54)*(1/10^3)</f>
        <v>408.58590098788233</v>
      </c>
      <c r="E83" s="106" t="s">
        <v>105</v>
      </c>
      <c r="F83" s="133" t="s">
        <v>277</v>
      </c>
    </row>
    <row r="84" spans="2:6" x14ac:dyDescent="0.25">
      <c r="B84" s="373" t="s">
        <v>231</v>
      </c>
      <c r="C84" s="374"/>
      <c r="D84" s="374"/>
      <c r="E84" s="374"/>
      <c r="F84" s="375"/>
    </row>
    <row r="85" spans="2:6" x14ac:dyDescent="0.25">
      <c r="B85" s="129" t="s">
        <v>85</v>
      </c>
      <c r="C85" s="107">
        <v>0.4</v>
      </c>
      <c r="D85" s="107">
        <v>0.7</v>
      </c>
      <c r="E85" s="106" t="s">
        <v>87</v>
      </c>
      <c r="F85" s="132"/>
    </row>
    <row r="86" spans="2:6" ht="45.75" thickBot="1" x14ac:dyDescent="0.3">
      <c r="B86" s="129" t="s">
        <v>220</v>
      </c>
      <c r="C86" s="268">
        <f>C77*(1/C85)*(10^3)*(1/5.54)*(1/10^3)</f>
        <v>39.530685920577625</v>
      </c>
      <c r="D86" s="269">
        <f>D77*(1/D85)*(10^3)*(1/5.54)*(1/10^3)</f>
        <v>225.88963383187215</v>
      </c>
      <c r="E86" s="106" t="s">
        <v>105</v>
      </c>
      <c r="F86" s="133" t="s">
        <v>278</v>
      </c>
    </row>
    <row r="87" spans="2:6" x14ac:dyDescent="0.25">
      <c r="B87" s="362" t="s">
        <v>279</v>
      </c>
      <c r="C87" s="363"/>
      <c r="D87" s="363"/>
      <c r="E87" s="363"/>
      <c r="F87" s="364"/>
    </row>
    <row r="88" spans="2:6" x14ac:dyDescent="0.25">
      <c r="B88" s="129" t="s">
        <v>120</v>
      </c>
      <c r="C88" s="125">
        <v>0.5</v>
      </c>
      <c r="D88" s="125">
        <v>1</v>
      </c>
      <c r="E88" s="106" t="s">
        <v>137</v>
      </c>
      <c r="F88" s="130"/>
    </row>
    <row r="89" spans="2:6" x14ac:dyDescent="0.25">
      <c r="B89" s="129" t="s">
        <v>138</v>
      </c>
      <c r="C89" s="126">
        <v>1</v>
      </c>
      <c r="D89" s="126">
        <v>1</v>
      </c>
      <c r="E89" s="106"/>
      <c r="F89" s="131" t="s">
        <v>125</v>
      </c>
    </row>
    <row r="90" spans="2:6" ht="45" x14ac:dyDescent="0.25">
      <c r="B90" s="134" t="s">
        <v>114</v>
      </c>
      <c r="C90" s="118">
        <f>C88*C89*8760</f>
        <v>4380</v>
      </c>
      <c r="D90" s="118">
        <f>D88*D89*8760</f>
        <v>8760</v>
      </c>
      <c r="E90" s="106" t="s">
        <v>83</v>
      </c>
      <c r="F90" s="135" t="s">
        <v>280</v>
      </c>
    </row>
    <row r="91" spans="2:6" x14ac:dyDescent="0.25">
      <c r="B91" s="373" t="s">
        <v>218</v>
      </c>
      <c r="C91" s="374"/>
      <c r="D91" s="374"/>
      <c r="E91" s="374"/>
      <c r="F91" s="375"/>
    </row>
    <row r="92" spans="2:6" ht="75" x14ac:dyDescent="0.25">
      <c r="B92" s="129" t="s">
        <v>220</v>
      </c>
      <c r="C92" s="269">
        <f>C90*(1/0.4)*(1/0.9)*(10^3)*(1/5.54)*(1/10^3)*(10/100)</f>
        <v>219.6149217809868</v>
      </c>
      <c r="D92" s="269">
        <f>D90*(1/0.4)*(1/0.9)*(10^3)*(1/5.54)*(1/10^3)*(10/100)</f>
        <v>439.22984356197361</v>
      </c>
      <c r="E92" s="106" t="s">
        <v>105</v>
      </c>
      <c r="F92" s="133" t="s">
        <v>281</v>
      </c>
    </row>
    <row r="93" spans="2:6" x14ac:dyDescent="0.25">
      <c r="B93" s="373" t="s">
        <v>223</v>
      </c>
      <c r="C93" s="374"/>
      <c r="D93" s="374"/>
      <c r="E93" s="374"/>
      <c r="F93" s="375"/>
    </row>
    <row r="94" spans="2:6" ht="75" x14ac:dyDescent="0.25">
      <c r="B94" s="129" t="s">
        <v>220</v>
      </c>
      <c r="C94" s="269">
        <f>C90*(1/0.4)*(1/0.9)*(10^3)*(1/5.54)*(1/10^3)*(30/100)</f>
        <v>658.84476534296039</v>
      </c>
      <c r="D94" s="269">
        <f>D90*(1/0.4)*(1/0.9)*(10^3)*(1/5.54)*(1/10^3)*(30/100)</f>
        <v>1317.6895306859208</v>
      </c>
      <c r="E94" s="106" t="s">
        <v>105</v>
      </c>
      <c r="F94" s="133" t="s">
        <v>282</v>
      </c>
    </row>
    <row r="95" spans="2:6" x14ac:dyDescent="0.25">
      <c r="B95" s="373" t="s">
        <v>227</v>
      </c>
      <c r="C95" s="374"/>
      <c r="D95" s="374"/>
      <c r="E95" s="374"/>
      <c r="F95" s="375"/>
    </row>
    <row r="96" spans="2:6" ht="75" x14ac:dyDescent="0.25">
      <c r="B96" s="129" t="s">
        <v>220</v>
      </c>
      <c r="C96" s="269">
        <f>C90*(1/0.43)*(1/0.9)*(10^3)*(1/5.54)*(1/10^3)</f>
        <v>2042.9295049394123</v>
      </c>
      <c r="D96" s="269">
        <f>D90*(1/0.43)*(1/0.9)*(10^3)*(1/5.54)*(1/10^3)</f>
        <v>4085.8590098788245</v>
      </c>
      <c r="E96" s="106" t="s">
        <v>105</v>
      </c>
      <c r="F96" s="133" t="s">
        <v>283</v>
      </c>
    </row>
    <row r="97" spans="2:6" x14ac:dyDescent="0.25">
      <c r="B97" s="373" t="s">
        <v>231</v>
      </c>
      <c r="C97" s="374"/>
      <c r="D97" s="374"/>
      <c r="E97" s="374"/>
      <c r="F97" s="375"/>
    </row>
    <row r="98" spans="2:6" x14ac:dyDescent="0.25">
      <c r="B98" s="129" t="s">
        <v>85</v>
      </c>
      <c r="C98" s="107">
        <v>0.4</v>
      </c>
      <c r="D98" s="107">
        <v>0.7</v>
      </c>
      <c r="E98" s="106" t="s">
        <v>87</v>
      </c>
      <c r="F98" s="132"/>
    </row>
    <row r="99" spans="2:6" ht="45.75" thickBot="1" x14ac:dyDescent="0.3">
      <c r="B99" s="136" t="s">
        <v>220</v>
      </c>
      <c r="C99" s="270">
        <f>C90*(1/C98)*(10^3)*(1/5.54)*(1/10^3)</f>
        <v>1976.534296028881</v>
      </c>
      <c r="D99" s="270">
        <f>D90*(1/D98)*(10^3)*(1/5.54)*(1/10^3)</f>
        <v>2258.8963383187215</v>
      </c>
      <c r="E99" s="137" t="s">
        <v>105</v>
      </c>
      <c r="F99" s="138" t="s">
        <v>284</v>
      </c>
    </row>
  </sheetData>
  <mergeCells count="72">
    <mergeCell ref="B14:F14"/>
    <mergeCell ref="B5:F5"/>
    <mergeCell ref="B7:F7"/>
    <mergeCell ref="B8:F8"/>
    <mergeCell ref="B9:F9"/>
    <mergeCell ref="B10:F10"/>
    <mergeCell ref="B11:F11"/>
    <mergeCell ref="B12:F12"/>
    <mergeCell ref="B13:F13"/>
    <mergeCell ref="B41:F41"/>
    <mergeCell ref="B19:B20"/>
    <mergeCell ref="C19:D19"/>
    <mergeCell ref="E19:E20"/>
    <mergeCell ref="F19:F20"/>
    <mergeCell ref="B21:F21"/>
    <mergeCell ref="B25:F25"/>
    <mergeCell ref="B27:F27"/>
    <mergeCell ref="B29:F29"/>
    <mergeCell ref="B31:F31"/>
    <mergeCell ref="B34:F34"/>
    <mergeCell ref="B39:F39"/>
    <mergeCell ref="B71:F71"/>
    <mergeCell ref="B43:F43"/>
    <mergeCell ref="B45:F45"/>
    <mergeCell ref="B48:F48"/>
    <mergeCell ref="B52:F52"/>
    <mergeCell ref="B54:F54"/>
    <mergeCell ref="B56:F56"/>
    <mergeCell ref="B58:F58"/>
    <mergeCell ref="B61:F61"/>
    <mergeCell ref="B65:F65"/>
    <mergeCell ref="B67:F67"/>
    <mergeCell ref="B69:F69"/>
    <mergeCell ref="B91:F91"/>
    <mergeCell ref="B93:F93"/>
    <mergeCell ref="B95:F95"/>
    <mergeCell ref="B97:F97"/>
    <mergeCell ref="H5:L5"/>
    <mergeCell ref="H6:L6"/>
    <mergeCell ref="H7:L7"/>
    <mergeCell ref="H8:L8"/>
    <mergeCell ref="H9:L9"/>
    <mergeCell ref="H10:L10"/>
    <mergeCell ref="B74:F74"/>
    <mergeCell ref="B78:F78"/>
    <mergeCell ref="B80:F80"/>
    <mergeCell ref="B82:F82"/>
    <mergeCell ref="B84:F84"/>
    <mergeCell ref="B87:F87"/>
    <mergeCell ref="H42:L42"/>
    <mergeCell ref="H19:H20"/>
    <mergeCell ref="I19:J19"/>
    <mergeCell ref="K19:K20"/>
    <mergeCell ref="L19:L20"/>
    <mergeCell ref="H21:L21"/>
    <mergeCell ref="H28:L28"/>
    <mergeCell ref="N48:R48"/>
    <mergeCell ref="N5:R5"/>
    <mergeCell ref="N14:N15"/>
    <mergeCell ref="O14:P14"/>
    <mergeCell ref="Q14:Q15"/>
    <mergeCell ref="R14:R15"/>
    <mergeCell ref="N16:R16"/>
    <mergeCell ref="N6:R6"/>
    <mergeCell ref="N7:R7"/>
    <mergeCell ref="N8:R8"/>
    <mergeCell ref="H4:I4"/>
    <mergeCell ref="N4:O4"/>
    <mergeCell ref="N24:R24"/>
    <mergeCell ref="N32:R32"/>
    <mergeCell ref="N40:R40"/>
    <mergeCell ref="H35:L35"/>
  </mergeCells>
  <hyperlinks>
    <hyperlink ref="F22" r:id="rId1" location="Sec6" display="https://link.springer.com/article/10.1007/s10668-023-02917-7 - Sec6" xr:uid="{F13D7A04-1789-457C-87FC-5114D880E5E1}"/>
    <hyperlink ref="F35" r:id="rId2" xr:uid="{539D7FA8-1E99-4BA0-97BD-C3CD3F0FA42A}"/>
    <hyperlink ref="R49" r:id="rId3" xr:uid="{30CD9EBC-E4A0-4529-A3E4-A816A541CB2D}"/>
  </hyperlinks>
  <pageMargins left="0.7" right="0.7" top="0.75" bottom="0.75" header="0.3" footer="0.3"/>
  <pageSetup orientation="portrait" horizontalDpi="1200" verticalDpi="1200" r:id="rId4"/>
  <drawing r:id="rId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F8CB0D-FF9E-4727-9981-D5FAC377A8A0}">
  <dimension ref="B3:R129"/>
  <sheetViews>
    <sheetView topLeftCell="B9" zoomScale="80" zoomScaleNormal="80" workbookViewId="0">
      <selection activeCell="P15" sqref="O13:P15"/>
    </sheetView>
  </sheetViews>
  <sheetFormatPr defaultColWidth="15.7109375" defaultRowHeight="15" x14ac:dyDescent="0.25"/>
  <cols>
    <col min="1" max="1" width="7.140625" customWidth="1"/>
    <col min="2" max="2" width="26.42578125" style="56" customWidth="1"/>
    <col min="3" max="5" width="15.7109375" style="56"/>
    <col min="6" max="6" width="55.85546875" style="56" customWidth="1"/>
    <col min="7" max="7" width="8.140625" style="56" customWidth="1"/>
    <col min="8" max="8" width="26.5703125" style="56" customWidth="1"/>
    <col min="9" max="11" width="15.7109375" style="56"/>
    <col min="12" max="12" width="50.140625" style="56" customWidth="1"/>
    <col min="13" max="13" width="7.28515625" style="56" customWidth="1"/>
    <col min="14" max="14" width="30.7109375" style="56" customWidth="1"/>
    <col min="15" max="17" width="15.7109375" style="56"/>
    <col min="18" max="18" width="58.28515625" style="56" customWidth="1"/>
  </cols>
  <sheetData>
    <row r="3" spans="2:18" ht="18.75" x14ac:dyDescent="0.3">
      <c r="B3" s="210" t="s">
        <v>60</v>
      </c>
    </row>
    <row r="4" spans="2:18" ht="15.75" thickBot="1" x14ac:dyDescent="0.3"/>
    <row r="5" spans="2:18" ht="19.5" thickBot="1" x14ac:dyDescent="0.35">
      <c r="B5" s="94" t="s">
        <v>64</v>
      </c>
      <c r="C5" s="424"/>
      <c r="D5" s="424"/>
      <c r="E5" s="425"/>
      <c r="F5" s="425"/>
      <c r="H5" s="426" t="s">
        <v>5</v>
      </c>
      <c r="I5" s="427"/>
      <c r="N5" s="428" t="s">
        <v>6</v>
      </c>
      <c r="O5" s="429"/>
    </row>
    <row r="6" spans="2:18" x14ac:dyDescent="0.25">
      <c r="B6" s="453" t="s">
        <v>65</v>
      </c>
      <c r="C6" s="455" t="s">
        <v>66</v>
      </c>
      <c r="D6" s="455"/>
      <c r="E6" s="455" t="s">
        <v>67</v>
      </c>
      <c r="F6" s="457" t="s">
        <v>68</v>
      </c>
      <c r="H6" s="447" t="s">
        <v>65</v>
      </c>
      <c r="I6" s="449" t="s">
        <v>66</v>
      </c>
      <c r="J6" s="449"/>
      <c r="K6" s="449" t="s">
        <v>67</v>
      </c>
      <c r="L6" s="451" t="s">
        <v>68</v>
      </c>
      <c r="N6" s="437" t="s">
        <v>65</v>
      </c>
      <c r="O6" s="439" t="s">
        <v>66</v>
      </c>
      <c r="P6" s="439"/>
      <c r="Q6" s="440" t="s">
        <v>67</v>
      </c>
      <c r="R6" s="442" t="s">
        <v>68</v>
      </c>
    </row>
    <row r="7" spans="2:18" ht="15.75" thickBot="1" x14ac:dyDescent="0.3">
      <c r="B7" s="454"/>
      <c r="C7" s="229" t="s">
        <v>70</v>
      </c>
      <c r="D7" s="229" t="s">
        <v>71</v>
      </c>
      <c r="E7" s="456"/>
      <c r="F7" s="458"/>
      <c r="H7" s="448"/>
      <c r="I7" s="230" t="s">
        <v>70</v>
      </c>
      <c r="J7" s="230" t="s">
        <v>71</v>
      </c>
      <c r="K7" s="450"/>
      <c r="L7" s="452"/>
      <c r="N7" s="438"/>
      <c r="O7" s="276" t="s">
        <v>70</v>
      </c>
      <c r="P7" s="276" t="s">
        <v>71</v>
      </c>
      <c r="Q7" s="441"/>
      <c r="R7" s="443"/>
    </row>
    <row r="8" spans="2:18" x14ac:dyDescent="0.25">
      <c r="B8" s="444" t="s">
        <v>73</v>
      </c>
      <c r="C8" s="445"/>
      <c r="D8" s="445"/>
      <c r="E8" s="445"/>
      <c r="F8" s="446"/>
      <c r="H8" s="444" t="s">
        <v>226</v>
      </c>
      <c r="I8" s="445"/>
      <c r="J8" s="445"/>
      <c r="K8" s="445"/>
      <c r="L8" s="446"/>
      <c r="N8" s="444" t="s">
        <v>150</v>
      </c>
      <c r="O8" s="445"/>
      <c r="P8" s="445"/>
      <c r="Q8" s="445"/>
      <c r="R8" s="446"/>
    </row>
    <row r="9" spans="2:18" ht="60" x14ac:dyDescent="0.25">
      <c r="B9" s="149" t="s">
        <v>75</v>
      </c>
      <c r="C9" s="183">
        <v>10</v>
      </c>
      <c r="D9" s="183">
        <v>10</v>
      </c>
      <c r="E9" s="150" t="s">
        <v>76</v>
      </c>
      <c r="F9" s="189" t="s">
        <v>285</v>
      </c>
      <c r="H9" s="145" t="s">
        <v>92</v>
      </c>
      <c r="I9" s="218">
        <v>7.6</v>
      </c>
      <c r="J9" s="218">
        <v>7.6</v>
      </c>
      <c r="K9" s="150" t="s">
        <v>209</v>
      </c>
      <c r="L9" s="228" t="s">
        <v>210</v>
      </c>
      <c r="N9" s="145" t="s">
        <v>151</v>
      </c>
      <c r="O9" s="218">
        <v>4.5</v>
      </c>
      <c r="P9" s="202">
        <v>20</v>
      </c>
      <c r="Q9" s="150" t="s">
        <v>76</v>
      </c>
      <c r="R9" s="228" t="s">
        <v>152</v>
      </c>
    </row>
    <row r="10" spans="2:18" ht="30" x14ac:dyDescent="0.25">
      <c r="B10" s="149" t="s">
        <v>79</v>
      </c>
      <c r="C10" s="219">
        <v>1</v>
      </c>
      <c r="D10" s="219">
        <v>1</v>
      </c>
      <c r="E10" s="150"/>
      <c r="F10" s="222" t="s">
        <v>80</v>
      </c>
      <c r="H10" s="145" t="s">
        <v>286</v>
      </c>
      <c r="I10" s="202">
        <v>20</v>
      </c>
      <c r="J10" s="202">
        <v>100</v>
      </c>
      <c r="K10" s="150" t="s">
        <v>287</v>
      </c>
      <c r="L10" s="228" t="s">
        <v>125</v>
      </c>
      <c r="N10" s="145" t="s">
        <v>155</v>
      </c>
      <c r="O10" s="202">
        <v>6</v>
      </c>
      <c r="P10" s="202">
        <v>12</v>
      </c>
      <c r="Q10" s="150" t="s">
        <v>156</v>
      </c>
      <c r="R10" s="228" t="s">
        <v>125</v>
      </c>
    </row>
    <row r="11" spans="2:18" ht="60" x14ac:dyDescent="0.25">
      <c r="B11" s="149" t="s">
        <v>82</v>
      </c>
      <c r="C11" s="262">
        <f>C9*C10*8760*1/1000</f>
        <v>87.6</v>
      </c>
      <c r="D11" s="262">
        <f>D9*D10*8760*1/1000</f>
        <v>87.6</v>
      </c>
      <c r="E11" s="150" t="s">
        <v>83</v>
      </c>
      <c r="F11" s="190" t="s">
        <v>84</v>
      </c>
      <c r="H11" s="145" t="s">
        <v>288</v>
      </c>
      <c r="I11" s="202">
        <v>260</v>
      </c>
      <c r="J11" s="202">
        <v>350</v>
      </c>
      <c r="K11" s="150" t="s">
        <v>160</v>
      </c>
      <c r="L11" s="228" t="s">
        <v>125</v>
      </c>
      <c r="N11" s="145" t="s">
        <v>159</v>
      </c>
      <c r="O11" s="202">
        <v>350</v>
      </c>
      <c r="P11" s="202">
        <v>350</v>
      </c>
      <c r="Q11" s="150" t="s">
        <v>160</v>
      </c>
      <c r="R11" s="228" t="s">
        <v>125</v>
      </c>
    </row>
    <row r="12" spans="2:18" ht="30" x14ac:dyDescent="0.25">
      <c r="B12" s="430" t="s">
        <v>289</v>
      </c>
      <c r="C12" s="431"/>
      <c r="D12" s="431"/>
      <c r="E12" s="431"/>
      <c r="F12" s="432"/>
      <c r="H12" s="149" t="s">
        <v>104</v>
      </c>
      <c r="I12" s="202">
        <f>(I9/100)*I10*I11</f>
        <v>395.2</v>
      </c>
      <c r="J12" s="202">
        <f>(J9/100)*J10*J11</f>
        <v>2660</v>
      </c>
      <c r="K12" s="150" t="s">
        <v>216</v>
      </c>
      <c r="L12" s="228"/>
      <c r="N12" s="149" t="s">
        <v>162</v>
      </c>
      <c r="O12" s="183">
        <f>O10*O11</f>
        <v>2100</v>
      </c>
      <c r="P12" s="183">
        <f>P10*P11</f>
        <v>4200</v>
      </c>
      <c r="Q12" s="150" t="s">
        <v>156</v>
      </c>
      <c r="R12" s="228" t="s">
        <v>125</v>
      </c>
    </row>
    <row r="13" spans="2:18" ht="30" x14ac:dyDescent="0.25">
      <c r="B13" s="149" t="s">
        <v>86</v>
      </c>
      <c r="C13" s="219">
        <v>0.25</v>
      </c>
      <c r="D13" s="219">
        <v>0.4</v>
      </c>
      <c r="E13" s="150" t="s">
        <v>87</v>
      </c>
      <c r="F13" s="190" t="s">
        <v>290</v>
      </c>
      <c r="H13" s="149" t="s">
        <v>291</v>
      </c>
      <c r="I13" s="264">
        <f>0.1*I15</f>
        <v>3.1616000000000005E-2</v>
      </c>
      <c r="J13" s="264">
        <f>0.1*J15</f>
        <v>0.21280000000000002</v>
      </c>
      <c r="K13" s="150" t="s">
        <v>105</v>
      </c>
      <c r="L13" s="151"/>
      <c r="N13" s="149" t="s">
        <v>291</v>
      </c>
      <c r="O13" s="263">
        <f>O15*0.1</f>
        <v>2.0021186440677969E-4</v>
      </c>
      <c r="P13" s="263">
        <f>P15*0.1</f>
        <v>1.7796610169491522E-3</v>
      </c>
      <c r="Q13" s="150" t="s">
        <v>292</v>
      </c>
      <c r="R13" s="151"/>
    </row>
    <row r="14" spans="2:18" ht="30" x14ac:dyDescent="0.25">
      <c r="B14" s="430" t="s">
        <v>60</v>
      </c>
      <c r="C14" s="431"/>
      <c r="D14" s="431"/>
      <c r="E14" s="431"/>
      <c r="F14" s="432"/>
      <c r="H14" s="149" t="s">
        <v>293</v>
      </c>
      <c r="I14" s="264">
        <f>0.3*I15</f>
        <v>9.4848000000000016E-2</v>
      </c>
      <c r="J14" s="264">
        <f>0.3*J15</f>
        <v>0.63839999999999997</v>
      </c>
      <c r="K14" s="150" t="s">
        <v>105</v>
      </c>
      <c r="L14" s="151"/>
      <c r="N14" s="149" t="s">
        <v>293</v>
      </c>
      <c r="O14" s="263">
        <f>O15*0.3</f>
        <v>6.0063559322033903E-4</v>
      </c>
      <c r="P14" s="263">
        <f>P15*0.3</f>
        <v>5.3389830508474567E-3</v>
      </c>
      <c r="Q14" s="150" t="s">
        <v>292</v>
      </c>
      <c r="R14" s="151"/>
    </row>
    <row r="15" spans="2:18" ht="60" x14ac:dyDescent="0.25">
      <c r="B15" s="223" t="s">
        <v>90</v>
      </c>
      <c r="C15" s="271">
        <f>MIN(C11:D11)/D13</f>
        <v>218.99999999999997</v>
      </c>
      <c r="D15" s="271">
        <f>MAX(C11:D11)/C13</f>
        <v>350.4</v>
      </c>
      <c r="E15" s="150" t="s">
        <v>83</v>
      </c>
      <c r="F15" s="222" t="s">
        <v>91</v>
      </c>
      <c r="H15" s="149" t="s">
        <v>294</v>
      </c>
      <c r="I15" s="264">
        <f>I12*0.8/1000</f>
        <v>0.31616000000000005</v>
      </c>
      <c r="J15" s="264">
        <f>J12*0.8/1000</f>
        <v>2.1280000000000001</v>
      </c>
      <c r="K15" s="150" t="s">
        <v>105</v>
      </c>
      <c r="L15" s="151"/>
      <c r="N15" s="149" t="s">
        <v>294</v>
      </c>
      <c r="O15" s="263">
        <f>O9*O12*(1/0.4)*(1/11.8)*(1/1000000)</f>
        <v>2.0021186440677967E-3</v>
      </c>
      <c r="P15" s="263">
        <f>P9*P12*(1/0.4)*(1/11.8)*(1/1000000)</f>
        <v>1.7796610169491522E-2</v>
      </c>
      <c r="Q15" s="150" t="s">
        <v>292</v>
      </c>
      <c r="R15" s="151"/>
    </row>
    <row r="16" spans="2:18" ht="18" x14ac:dyDescent="0.25">
      <c r="B16" s="149" t="s">
        <v>295</v>
      </c>
      <c r="C16" s="262">
        <v>11.8</v>
      </c>
      <c r="D16" s="262">
        <v>11.8</v>
      </c>
      <c r="E16" s="150" t="s">
        <v>95</v>
      </c>
      <c r="F16" s="222" t="s">
        <v>296</v>
      </c>
      <c r="H16" s="405" t="s">
        <v>238</v>
      </c>
      <c r="I16" s="406"/>
      <c r="J16" s="406"/>
      <c r="K16" s="406"/>
      <c r="L16" s="407"/>
      <c r="N16" s="405" t="s">
        <v>217</v>
      </c>
      <c r="O16" s="406"/>
      <c r="P16" s="406"/>
      <c r="Q16" s="406"/>
      <c r="R16" s="407"/>
    </row>
    <row r="17" spans="2:18" ht="60" x14ac:dyDescent="0.25">
      <c r="B17" s="224">
        <v>0.1</v>
      </c>
      <c r="C17" s="264">
        <f>0.1*C19</f>
        <v>1.8559322033898302</v>
      </c>
      <c r="D17" s="264">
        <f>0.1*D19</f>
        <v>2.9694915254237291</v>
      </c>
      <c r="E17" s="150" t="s">
        <v>105</v>
      </c>
      <c r="F17" s="222"/>
      <c r="H17" s="145" t="s">
        <v>92</v>
      </c>
      <c r="I17" s="218">
        <v>35</v>
      </c>
      <c r="J17" s="218">
        <v>35</v>
      </c>
      <c r="K17" s="150" t="s">
        <v>209</v>
      </c>
      <c r="L17" s="228" t="s">
        <v>210</v>
      </c>
      <c r="N17" s="145" t="s">
        <v>151</v>
      </c>
      <c r="O17" s="202">
        <v>20</v>
      </c>
      <c r="P17" s="202">
        <v>55</v>
      </c>
      <c r="Q17" s="150" t="s">
        <v>76</v>
      </c>
      <c r="R17" s="228" t="s">
        <v>152</v>
      </c>
    </row>
    <row r="18" spans="2:18" ht="30" x14ac:dyDescent="0.25">
      <c r="B18" s="224">
        <v>0.3</v>
      </c>
      <c r="C18" s="264">
        <f>0.3*C19</f>
        <v>5.5677966101694905</v>
      </c>
      <c r="D18" s="264">
        <f>0.3*D19</f>
        <v>8.9084745762711854</v>
      </c>
      <c r="E18" s="150" t="s">
        <v>105</v>
      </c>
      <c r="F18" s="222"/>
      <c r="H18" s="145" t="s">
        <v>286</v>
      </c>
      <c r="I18" s="202">
        <v>100</v>
      </c>
      <c r="J18" s="202">
        <v>200</v>
      </c>
      <c r="K18" s="150" t="s">
        <v>287</v>
      </c>
      <c r="L18" s="228" t="s">
        <v>125</v>
      </c>
      <c r="N18" s="145" t="s">
        <v>155</v>
      </c>
      <c r="O18" s="202">
        <v>6</v>
      </c>
      <c r="P18" s="202">
        <v>12</v>
      </c>
      <c r="Q18" s="150" t="s">
        <v>156</v>
      </c>
      <c r="R18" s="228" t="s">
        <v>125</v>
      </c>
    </row>
    <row r="19" spans="2:18" ht="30" x14ac:dyDescent="0.25">
      <c r="B19" s="223" t="s">
        <v>98</v>
      </c>
      <c r="C19" s="284">
        <f>C15*1000/C16*1/1000</f>
        <v>18.559322033898301</v>
      </c>
      <c r="D19" s="284">
        <f>D15*1000/D16*1/1000</f>
        <v>29.694915254237287</v>
      </c>
      <c r="E19" s="150" t="s">
        <v>105</v>
      </c>
      <c r="F19" s="222"/>
      <c r="H19" s="145" t="s">
        <v>288</v>
      </c>
      <c r="I19" s="202">
        <v>350</v>
      </c>
      <c r="J19" s="202">
        <v>350</v>
      </c>
      <c r="K19" s="150" t="s">
        <v>160</v>
      </c>
      <c r="L19" s="228" t="s">
        <v>125</v>
      </c>
      <c r="N19" s="145" t="s">
        <v>159</v>
      </c>
      <c r="O19" s="202">
        <v>350</v>
      </c>
      <c r="P19" s="202">
        <v>350</v>
      </c>
      <c r="Q19" s="150" t="s">
        <v>160</v>
      </c>
      <c r="R19" s="228" t="s">
        <v>125</v>
      </c>
    </row>
    <row r="20" spans="2:18" ht="30" x14ac:dyDescent="0.25">
      <c r="B20" s="405" t="s">
        <v>103</v>
      </c>
      <c r="C20" s="406"/>
      <c r="D20" s="406"/>
      <c r="E20" s="406"/>
      <c r="F20" s="407"/>
      <c r="H20" s="149" t="s">
        <v>104</v>
      </c>
      <c r="I20" s="202">
        <f>(I17/100)*I18*I19</f>
        <v>12250</v>
      </c>
      <c r="J20" s="202">
        <f>(J17/100)*J18*J19</f>
        <v>24500</v>
      </c>
      <c r="K20" s="150" t="s">
        <v>216</v>
      </c>
      <c r="L20" s="228"/>
      <c r="N20" s="149" t="s">
        <v>162</v>
      </c>
      <c r="O20" s="183">
        <f>O18*O19</f>
        <v>2100</v>
      </c>
      <c r="P20" s="183">
        <f>P18*P19</f>
        <v>4200</v>
      </c>
      <c r="Q20" s="150" t="s">
        <v>156</v>
      </c>
      <c r="R20" s="228" t="s">
        <v>125</v>
      </c>
    </row>
    <row r="21" spans="2:18" ht="30" x14ac:dyDescent="0.25">
      <c r="B21" s="149" t="s">
        <v>106</v>
      </c>
      <c r="C21" s="202">
        <v>50</v>
      </c>
      <c r="D21" s="202">
        <v>70</v>
      </c>
      <c r="E21" s="150" t="s">
        <v>107</v>
      </c>
      <c r="F21" s="189" t="s">
        <v>108</v>
      </c>
      <c r="H21" s="149" t="s">
        <v>291</v>
      </c>
      <c r="I21" s="264">
        <f>I23*0.1</f>
        <v>0.98000000000000009</v>
      </c>
      <c r="J21" s="264">
        <f>J23*0.1</f>
        <v>1.9600000000000002</v>
      </c>
      <c r="K21" s="150" t="s">
        <v>105</v>
      </c>
      <c r="L21" s="151"/>
      <c r="N21" s="149" t="s">
        <v>291</v>
      </c>
      <c r="O21" s="281">
        <f>O23*0.1</f>
        <v>8.8983050847457612E-4</v>
      </c>
      <c r="P21" s="281">
        <f>P23*0.1</f>
        <v>4.8940677966101687E-3</v>
      </c>
      <c r="Q21" s="150" t="s">
        <v>292</v>
      </c>
      <c r="R21" s="151"/>
    </row>
    <row r="22" spans="2:18" ht="30" x14ac:dyDescent="0.25">
      <c r="B22" s="110" t="s">
        <v>110</v>
      </c>
      <c r="C22" s="209">
        <v>20</v>
      </c>
      <c r="D22" s="209">
        <v>20</v>
      </c>
      <c r="E22" s="111"/>
      <c r="F22" s="112"/>
      <c r="H22" s="149" t="s">
        <v>293</v>
      </c>
      <c r="I22" s="264">
        <f>I23*0.3</f>
        <v>2.94</v>
      </c>
      <c r="J22" s="264">
        <f>J23*0.3</f>
        <v>5.88</v>
      </c>
      <c r="K22" s="150" t="s">
        <v>105</v>
      </c>
      <c r="L22" s="151"/>
      <c r="N22" s="149" t="s">
        <v>293</v>
      </c>
      <c r="O22" s="281">
        <f>O23*0.3</f>
        <v>2.6694915254237284E-3</v>
      </c>
      <c r="P22" s="281">
        <f>P23*0.3</f>
        <v>1.4682203389830506E-2</v>
      </c>
      <c r="Q22" s="150" t="s">
        <v>292</v>
      </c>
      <c r="R22" s="151"/>
    </row>
    <row r="23" spans="2:18" ht="45" x14ac:dyDescent="0.25">
      <c r="B23" s="110" t="s">
        <v>111</v>
      </c>
      <c r="C23" s="209">
        <v>300</v>
      </c>
      <c r="D23" s="209">
        <v>300</v>
      </c>
      <c r="E23" s="156" t="s">
        <v>112</v>
      </c>
      <c r="F23" s="112" t="s">
        <v>113</v>
      </c>
      <c r="H23" s="149" t="s">
        <v>213</v>
      </c>
      <c r="I23" s="264">
        <f>I20*0.8/1000</f>
        <v>9.8000000000000007</v>
      </c>
      <c r="J23" s="264">
        <f>J20*0.8/1000</f>
        <v>19.600000000000001</v>
      </c>
      <c r="K23" s="150" t="s">
        <v>105</v>
      </c>
      <c r="L23" s="151"/>
      <c r="N23" s="149" t="s">
        <v>294</v>
      </c>
      <c r="O23" s="281">
        <f>O17*O20*(1/0.4)*(1/11.8)*(1/1000000)</f>
        <v>8.8983050847457612E-3</v>
      </c>
      <c r="P23" s="281">
        <f>P17*P20*(1/0.4)*(1/11.8)*(1/1000000)</f>
        <v>4.8940677966101687E-2</v>
      </c>
      <c r="Q23" s="150" t="s">
        <v>292</v>
      </c>
      <c r="R23" s="151"/>
    </row>
    <row r="24" spans="2:18" ht="90" x14ac:dyDescent="0.25">
      <c r="B24" s="110" t="s">
        <v>114</v>
      </c>
      <c r="C24" s="271">
        <f>C21*C22*C23*1/1000</f>
        <v>300</v>
      </c>
      <c r="D24" s="271">
        <f>D21*D22*D23*1/1000</f>
        <v>420</v>
      </c>
      <c r="E24" s="150" t="s">
        <v>83</v>
      </c>
      <c r="F24" s="222" t="s">
        <v>297</v>
      </c>
      <c r="H24" s="405" t="s">
        <v>116</v>
      </c>
      <c r="I24" s="406"/>
      <c r="J24" s="406"/>
      <c r="K24" s="406"/>
      <c r="L24" s="407"/>
      <c r="N24" s="405" t="s">
        <v>184</v>
      </c>
      <c r="O24" s="406"/>
      <c r="P24" s="406"/>
      <c r="Q24" s="406"/>
      <c r="R24" s="407"/>
    </row>
    <row r="25" spans="2:18" ht="90" x14ac:dyDescent="0.25">
      <c r="B25" s="430" t="s">
        <v>289</v>
      </c>
      <c r="C25" s="431"/>
      <c r="D25" s="431"/>
      <c r="E25" s="431"/>
      <c r="F25" s="432"/>
      <c r="H25" s="145" t="s">
        <v>92</v>
      </c>
      <c r="I25" s="218">
        <v>37</v>
      </c>
      <c r="J25" s="218">
        <v>37</v>
      </c>
      <c r="K25" s="150" t="s">
        <v>209</v>
      </c>
      <c r="L25" s="228" t="s">
        <v>210</v>
      </c>
      <c r="N25" s="145" t="s">
        <v>151</v>
      </c>
      <c r="O25" s="202">
        <v>800</v>
      </c>
      <c r="P25" s="202">
        <v>6400</v>
      </c>
      <c r="Q25" s="150" t="s">
        <v>76</v>
      </c>
      <c r="R25" s="228" t="s">
        <v>236</v>
      </c>
    </row>
    <row r="26" spans="2:18" ht="30" x14ac:dyDescent="0.25">
      <c r="B26" s="149" t="s">
        <v>86</v>
      </c>
      <c r="C26" s="219">
        <v>0.25</v>
      </c>
      <c r="D26" s="219">
        <v>0.4</v>
      </c>
      <c r="E26" s="150" t="s">
        <v>87</v>
      </c>
      <c r="F26" s="190" t="s">
        <v>290</v>
      </c>
      <c r="H26" s="145" t="s">
        <v>286</v>
      </c>
      <c r="I26" s="202">
        <v>100</v>
      </c>
      <c r="J26" s="202">
        <v>200</v>
      </c>
      <c r="K26" s="150" t="s">
        <v>287</v>
      </c>
      <c r="L26" s="228" t="s">
        <v>125</v>
      </c>
      <c r="N26" s="145" t="s">
        <v>155</v>
      </c>
      <c r="O26" s="202">
        <v>6</v>
      </c>
      <c r="P26" s="202">
        <v>12</v>
      </c>
      <c r="Q26" s="150" t="s">
        <v>156</v>
      </c>
      <c r="R26" s="228" t="s">
        <v>125</v>
      </c>
    </row>
    <row r="27" spans="2:18" ht="30" x14ac:dyDescent="0.25">
      <c r="B27" s="430" t="s">
        <v>60</v>
      </c>
      <c r="C27" s="431"/>
      <c r="D27" s="431"/>
      <c r="E27" s="431"/>
      <c r="F27" s="432"/>
      <c r="H27" s="145" t="s">
        <v>288</v>
      </c>
      <c r="I27" s="202">
        <v>350</v>
      </c>
      <c r="J27" s="202">
        <v>350</v>
      </c>
      <c r="K27" s="150" t="s">
        <v>160</v>
      </c>
      <c r="L27" s="228" t="s">
        <v>125</v>
      </c>
      <c r="N27" s="145" t="s">
        <v>159</v>
      </c>
      <c r="O27" s="202">
        <v>350</v>
      </c>
      <c r="P27" s="202">
        <v>350</v>
      </c>
      <c r="Q27" s="150" t="s">
        <v>160</v>
      </c>
      <c r="R27" s="228" t="s">
        <v>125</v>
      </c>
    </row>
    <row r="28" spans="2:18" ht="60" x14ac:dyDescent="0.25">
      <c r="B28" s="223" t="s">
        <v>90</v>
      </c>
      <c r="C28" s="271">
        <f>MIN(C24:D24)/D26</f>
        <v>750</v>
      </c>
      <c r="D28" s="209">
        <f>MAX(C24:D24)/C26</f>
        <v>1680</v>
      </c>
      <c r="E28" s="150" t="s">
        <v>83</v>
      </c>
      <c r="F28" s="222" t="s">
        <v>117</v>
      </c>
      <c r="H28" s="149" t="s">
        <v>104</v>
      </c>
      <c r="I28" s="202">
        <f>(I25/100)*I26*I27</f>
        <v>12950</v>
      </c>
      <c r="J28" s="202">
        <f>(J25/100)*J26*J27</f>
        <v>25900</v>
      </c>
      <c r="K28" s="150" t="s">
        <v>216</v>
      </c>
      <c r="L28" s="228"/>
      <c r="N28" s="149" t="s">
        <v>162</v>
      </c>
      <c r="O28" s="183">
        <f>O26*O27</f>
        <v>2100</v>
      </c>
      <c r="P28" s="183">
        <f>P26*P27</f>
        <v>4200</v>
      </c>
      <c r="Q28" s="150" t="s">
        <v>156</v>
      </c>
      <c r="R28" s="228" t="s">
        <v>125</v>
      </c>
    </row>
    <row r="29" spans="2:18" ht="30" x14ac:dyDescent="0.25">
      <c r="B29" s="149" t="s">
        <v>295</v>
      </c>
      <c r="C29" s="262">
        <v>11.8</v>
      </c>
      <c r="D29" s="262">
        <v>11.8</v>
      </c>
      <c r="E29" s="150" t="s">
        <v>95</v>
      </c>
      <c r="F29" s="222" t="s">
        <v>296</v>
      </c>
      <c r="H29" s="149" t="s">
        <v>291</v>
      </c>
      <c r="I29" s="264">
        <f>I31*0.1</f>
        <v>1.036</v>
      </c>
      <c r="J29" s="264">
        <f>J31*0.1</f>
        <v>2.0720000000000001</v>
      </c>
      <c r="K29" s="150" t="s">
        <v>105</v>
      </c>
      <c r="L29" s="151"/>
      <c r="N29" s="149" t="s">
        <v>291</v>
      </c>
      <c r="O29" s="281">
        <f>O31*0.1</f>
        <v>3.5593220338983045E-2</v>
      </c>
      <c r="P29" s="281">
        <f>P31*0.1</f>
        <v>0.56949152542372872</v>
      </c>
      <c r="Q29" s="150" t="s">
        <v>292</v>
      </c>
      <c r="R29" s="151"/>
    </row>
    <row r="30" spans="2:18" ht="30" x14ac:dyDescent="0.25">
      <c r="B30" s="224">
        <v>0.1</v>
      </c>
      <c r="C30" s="264">
        <f>0.1*C32</f>
        <v>6.3559322033898304</v>
      </c>
      <c r="D30" s="264">
        <f>0.1*D32</f>
        <v>14.237288135593218</v>
      </c>
      <c r="E30" s="286" t="s">
        <v>105</v>
      </c>
      <c r="F30" s="222"/>
      <c r="H30" s="149" t="s">
        <v>293</v>
      </c>
      <c r="I30" s="264">
        <f>I31*0.3</f>
        <v>3.1079999999999997</v>
      </c>
      <c r="J30" s="264">
        <f>J31*0.3</f>
        <v>6.2159999999999993</v>
      </c>
      <c r="K30" s="150" t="s">
        <v>105</v>
      </c>
      <c r="L30" s="151"/>
      <c r="N30" s="149" t="s">
        <v>293</v>
      </c>
      <c r="O30" s="281">
        <f>O31*0.3</f>
        <v>0.10677966101694913</v>
      </c>
      <c r="P30" s="281">
        <f>P31*0.3</f>
        <v>1.7084745762711862</v>
      </c>
      <c r="Q30" s="150" t="s">
        <v>292</v>
      </c>
      <c r="R30" s="151"/>
    </row>
    <row r="31" spans="2:18" ht="30.75" thickBot="1" x14ac:dyDescent="0.3">
      <c r="B31" s="224">
        <v>0.3</v>
      </c>
      <c r="C31" s="264">
        <f>0.3*C32</f>
        <v>19.067796610169491</v>
      </c>
      <c r="D31" s="264">
        <f>0.3*D32</f>
        <v>42.711864406779654</v>
      </c>
      <c r="E31" s="286" t="s">
        <v>105</v>
      </c>
      <c r="F31" s="222"/>
      <c r="H31" s="152" t="s">
        <v>294</v>
      </c>
      <c r="I31" s="266">
        <f>I28*0.8/1000</f>
        <v>10.36</v>
      </c>
      <c r="J31" s="266">
        <f>J28*0.8/1000</f>
        <v>20.72</v>
      </c>
      <c r="K31" s="153" t="s">
        <v>105</v>
      </c>
      <c r="L31" s="154"/>
      <c r="N31" s="149" t="s">
        <v>294</v>
      </c>
      <c r="O31" s="281">
        <f>O25*O28*(1/0.4)*(1/11.8)*(1/1000000)</f>
        <v>0.35593220338983045</v>
      </c>
      <c r="P31" s="281">
        <f>P25*P28*(1/0.4)*(1/11.8)*(1/1000000)</f>
        <v>5.6949152542372872</v>
      </c>
      <c r="Q31" s="150" t="s">
        <v>292</v>
      </c>
      <c r="R31" s="151"/>
    </row>
    <row r="32" spans="2:18" x14ac:dyDescent="0.25">
      <c r="B32" s="223" t="s">
        <v>98</v>
      </c>
      <c r="C32" s="284">
        <f>C28*1000/C29*1/1000</f>
        <v>63.559322033898304</v>
      </c>
      <c r="D32" s="284">
        <f>D28*1000/D29*1/1000</f>
        <v>142.37288135593218</v>
      </c>
      <c r="E32" s="286" t="s">
        <v>105</v>
      </c>
      <c r="F32" s="222"/>
      <c r="N32" s="405" t="s">
        <v>246</v>
      </c>
      <c r="O32" s="406"/>
      <c r="P32" s="406"/>
      <c r="Q32" s="406"/>
      <c r="R32" s="407"/>
    </row>
    <row r="33" spans="2:18" ht="60" x14ac:dyDescent="0.25">
      <c r="B33" s="405" t="s">
        <v>119</v>
      </c>
      <c r="C33" s="406"/>
      <c r="D33" s="406"/>
      <c r="E33" s="406"/>
      <c r="F33" s="407"/>
      <c r="N33" s="145" t="s">
        <v>151</v>
      </c>
      <c r="O33" s="202">
        <v>5500</v>
      </c>
      <c r="P33" s="202">
        <v>16500</v>
      </c>
      <c r="Q33" s="150" t="s">
        <v>76</v>
      </c>
      <c r="R33" s="228" t="s">
        <v>248</v>
      </c>
    </row>
    <row r="34" spans="2:18" ht="30" x14ac:dyDescent="0.25">
      <c r="B34" s="149" t="s">
        <v>120</v>
      </c>
      <c r="C34" s="202">
        <v>30000</v>
      </c>
      <c r="D34" s="202">
        <v>30000</v>
      </c>
      <c r="E34" s="150" t="s">
        <v>121</v>
      </c>
      <c r="F34" s="189" t="s">
        <v>122</v>
      </c>
      <c r="N34" s="145" t="s">
        <v>155</v>
      </c>
      <c r="O34" s="202">
        <v>12</v>
      </c>
      <c r="P34" s="202">
        <v>24</v>
      </c>
      <c r="Q34" s="150" t="s">
        <v>156</v>
      </c>
      <c r="R34" s="228" t="s">
        <v>125</v>
      </c>
    </row>
    <row r="35" spans="2:18" ht="30" x14ac:dyDescent="0.25">
      <c r="B35" s="149" t="s">
        <v>123</v>
      </c>
      <c r="C35" s="209">
        <v>50</v>
      </c>
      <c r="D35" s="209">
        <v>50</v>
      </c>
      <c r="E35" s="150" t="s">
        <v>124</v>
      </c>
      <c r="F35" s="222" t="s">
        <v>125</v>
      </c>
      <c r="N35" s="145" t="s">
        <v>159</v>
      </c>
      <c r="O35" s="202">
        <v>350</v>
      </c>
      <c r="P35" s="202">
        <v>350</v>
      </c>
      <c r="Q35" s="150" t="s">
        <v>160</v>
      </c>
      <c r="R35" s="228" t="s">
        <v>125</v>
      </c>
    </row>
    <row r="36" spans="2:18" ht="60" x14ac:dyDescent="0.25">
      <c r="B36" s="110" t="s">
        <v>114</v>
      </c>
      <c r="C36" s="271">
        <f>C34*C35*1/1000</f>
        <v>1500</v>
      </c>
      <c r="D36" s="209">
        <f>D34*D35*1/1000</f>
        <v>1500</v>
      </c>
      <c r="E36" s="150" t="s">
        <v>83</v>
      </c>
      <c r="F36" s="222" t="s">
        <v>126</v>
      </c>
      <c r="N36" s="149" t="s">
        <v>162</v>
      </c>
      <c r="O36" s="183">
        <f>O34*O35</f>
        <v>4200</v>
      </c>
      <c r="P36" s="183">
        <f>P34*P35</f>
        <v>8400</v>
      </c>
      <c r="Q36" s="150" t="s">
        <v>156</v>
      </c>
      <c r="R36" s="228" t="s">
        <v>125</v>
      </c>
    </row>
    <row r="37" spans="2:18" ht="30" x14ac:dyDescent="0.25">
      <c r="B37" s="430" t="s">
        <v>289</v>
      </c>
      <c r="C37" s="431"/>
      <c r="D37" s="431"/>
      <c r="E37" s="431"/>
      <c r="F37" s="432"/>
      <c r="N37" s="149" t="s">
        <v>291</v>
      </c>
      <c r="O37" s="281">
        <f>O39*0.1</f>
        <v>0.48940677966101687</v>
      </c>
      <c r="P37" s="281">
        <f>P39*0.1</f>
        <v>2.9364406779661016</v>
      </c>
      <c r="Q37" s="150" t="s">
        <v>292</v>
      </c>
      <c r="R37" s="151"/>
    </row>
    <row r="38" spans="2:18" ht="30" x14ac:dyDescent="0.25">
      <c r="B38" s="149" t="s">
        <v>86</v>
      </c>
      <c r="C38" s="219">
        <v>0.25</v>
      </c>
      <c r="D38" s="219">
        <v>0.4</v>
      </c>
      <c r="E38" s="150" t="s">
        <v>87</v>
      </c>
      <c r="F38" s="190" t="s">
        <v>290</v>
      </c>
      <c r="N38" s="149" t="s">
        <v>293</v>
      </c>
      <c r="O38" s="281">
        <f>O39*0.3</f>
        <v>1.4682203389830506</v>
      </c>
      <c r="P38" s="281">
        <f>P39*0.3</f>
        <v>8.8093220338983045</v>
      </c>
      <c r="Q38" s="150" t="s">
        <v>292</v>
      </c>
      <c r="R38" s="151"/>
    </row>
    <row r="39" spans="2:18" ht="30" x14ac:dyDescent="0.25">
      <c r="B39" s="430" t="s">
        <v>60</v>
      </c>
      <c r="C39" s="431"/>
      <c r="D39" s="431"/>
      <c r="E39" s="431"/>
      <c r="F39" s="432"/>
      <c r="N39" s="149" t="s">
        <v>294</v>
      </c>
      <c r="O39" s="281">
        <f>O33*O36*(1/0.4)*(1/11.8)*(1/1000000)</f>
        <v>4.8940677966101687</v>
      </c>
      <c r="P39" s="281">
        <f>P33*P36*(1/0.4)*(1/11.8)*(1/1000000)</f>
        <v>29.364406779661014</v>
      </c>
      <c r="Q39" s="150" t="s">
        <v>292</v>
      </c>
      <c r="R39" s="151"/>
    </row>
    <row r="40" spans="2:18" ht="60" x14ac:dyDescent="0.25">
      <c r="B40" s="223" t="s">
        <v>90</v>
      </c>
      <c r="C40" s="271">
        <f>MIN(C36:D36)/D38</f>
        <v>3750</v>
      </c>
      <c r="D40" s="209">
        <f>MAX(C36:D36)/C38</f>
        <v>6000</v>
      </c>
      <c r="E40" s="150" t="s">
        <v>83</v>
      </c>
      <c r="F40" s="222" t="s">
        <v>127</v>
      </c>
      <c r="N40" s="405" t="s">
        <v>257</v>
      </c>
      <c r="O40" s="406"/>
      <c r="P40" s="406"/>
      <c r="Q40" s="406"/>
      <c r="R40" s="407"/>
    </row>
    <row r="41" spans="2:18" ht="30" x14ac:dyDescent="0.25">
      <c r="B41" s="149" t="s">
        <v>295</v>
      </c>
      <c r="C41" s="262">
        <v>11.8</v>
      </c>
      <c r="D41" s="262">
        <v>11.8</v>
      </c>
      <c r="E41" s="150" t="s">
        <v>95</v>
      </c>
      <c r="F41" s="222" t="s">
        <v>296</v>
      </c>
      <c r="N41" s="145" t="s">
        <v>151</v>
      </c>
      <c r="O41" s="183">
        <v>45000</v>
      </c>
      <c r="P41" s="183">
        <v>90000</v>
      </c>
      <c r="Q41" s="150" t="s">
        <v>76</v>
      </c>
      <c r="R41" s="189" t="s">
        <v>258</v>
      </c>
    </row>
    <row r="42" spans="2:18" ht="30" x14ac:dyDescent="0.25">
      <c r="B42" s="224">
        <v>0.1</v>
      </c>
      <c r="C42" s="264">
        <f>0.1*C44</f>
        <v>31.779661016949149</v>
      </c>
      <c r="D42" s="264">
        <f>0.1*D44</f>
        <v>50.847457627118644</v>
      </c>
      <c r="E42" s="150" t="s">
        <v>105</v>
      </c>
      <c r="F42" s="222"/>
      <c r="N42" s="145" t="s">
        <v>155</v>
      </c>
      <c r="O42" s="202">
        <v>12</v>
      </c>
      <c r="P42" s="202">
        <v>24</v>
      </c>
      <c r="Q42" s="150" t="s">
        <v>156</v>
      </c>
      <c r="R42" s="228" t="s">
        <v>125</v>
      </c>
    </row>
    <row r="43" spans="2:18" ht="30" x14ac:dyDescent="0.25">
      <c r="B43" s="149" t="s">
        <v>298</v>
      </c>
      <c r="C43" s="264">
        <f>0.3*C44</f>
        <v>95.338983050847446</v>
      </c>
      <c r="D43" s="264">
        <f>0.3*D44</f>
        <v>152.54237288135593</v>
      </c>
      <c r="E43" s="150" t="s">
        <v>105</v>
      </c>
      <c r="F43" s="222"/>
      <c r="N43" s="145" t="s">
        <v>159</v>
      </c>
      <c r="O43" s="202">
        <v>350</v>
      </c>
      <c r="P43" s="202">
        <v>350</v>
      </c>
      <c r="Q43" s="150" t="s">
        <v>160</v>
      </c>
      <c r="R43" s="228" t="s">
        <v>125</v>
      </c>
    </row>
    <row r="44" spans="2:18" x14ac:dyDescent="0.25">
      <c r="B44" s="223" t="s">
        <v>98</v>
      </c>
      <c r="C44" s="284">
        <f>C40*1000/C41*1/1000</f>
        <v>317.79661016949149</v>
      </c>
      <c r="D44" s="284">
        <f>D40*1000/D41*1/1000</f>
        <v>508.47457627118644</v>
      </c>
      <c r="E44" s="150" t="s">
        <v>105</v>
      </c>
      <c r="F44" s="222"/>
      <c r="N44" s="149" t="s">
        <v>162</v>
      </c>
      <c r="O44" s="183">
        <f>O42*O43</f>
        <v>4200</v>
      </c>
      <c r="P44" s="183">
        <f>P42*P43</f>
        <v>8400</v>
      </c>
      <c r="Q44" s="150" t="s">
        <v>156</v>
      </c>
      <c r="R44" s="228" t="s">
        <v>125</v>
      </c>
    </row>
    <row r="45" spans="2:18" ht="30" x14ac:dyDescent="0.25">
      <c r="B45" s="405" t="s">
        <v>129</v>
      </c>
      <c r="C45" s="406"/>
      <c r="D45" s="406"/>
      <c r="E45" s="406"/>
      <c r="F45" s="407"/>
      <c r="N45" s="149" t="s">
        <v>291</v>
      </c>
      <c r="O45" s="281">
        <f>O47*0.1</f>
        <v>4.0042372881355934</v>
      </c>
      <c r="P45" s="281">
        <f>P47*0.1</f>
        <v>16.016949152542374</v>
      </c>
      <c r="Q45" s="150" t="s">
        <v>292</v>
      </c>
      <c r="R45" s="151"/>
    </row>
    <row r="46" spans="2:18" ht="75" x14ac:dyDescent="0.25">
      <c r="B46" s="149" t="s">
        <v>120</v>
      </c>
      <c r="C46" s="220">
        <v>0.01</v>
      </c>
      <c r="D46" s="220">
        <v>1.54</v>
      </c>
      <c r="E46" s="150" t="s">
        <v>130</v>
      </c>
      <c r="F46" s="222" t="s">
        <v>131</v>
      </c>
      <c r="N46" s="149" t="s">
        <v>293</v>
      </c>
      <c r="O46" s="281">
        <f>O47*0.3</f>
        <v>12.012711864406779</v>
      </c>
      <c r="P46" s="281">
        <f>P47*0.3</f>
        <v>48.050847457627114</v>
      </c>
      <c r="Q46" s="150" t="s">
        <v>292</v>
      </c>
      <c r="R46" s="151"/>
    </row>
    <row r="47" spans="2:18" ht="30.75" thickBot="1" x14ac:dyDescent="0.3">
      <c r="B47" s="149" t="s">
        <v>132</v>
      </c>
      <c r="C47" s="209">
        <v>50</v>
      </c>
      <c r="D47" s="209">
        <v>100</v>
      </c>
      <c r="E47" s="150" t="s">
        <v>133</v>
      </c>
      <c r="F47" s="222" t="s">
        <v>125</v>
      </c>
      <c r="N47" s="152" t="s">
        <v>294</v>
      </c>
      <c r="O47" s="287">
        <f>O41*O44*(1/0.4)*(1/11.8)*(1/1000000)</f>
        <v>40.042372881355931</v>
      </c>
      <c r="P47" s="287">
        <f>P41*P44*(1/0.4)*(1/11.8)*(1/1000000)</f>
        <v>160.16949152542372</v>
      </c>
      <c r="Q47" s="153" t="s">
        <v>292</v>
      </c>
      <c r="R47" s="154"/>
    </row>
    <row r="48" spans="2:18" ht="60" x14ac:dyDescent="0.25">
      <c r="B48" s="110" t="s">
        <v>114</v>
      </c>
      <c r="C48" s="271">
        <f>C46*C47</f>
        <v>0.5</v>
      </c>
      <c r="D48" s="271">
        <f>D46*D47</f>
        <v>154</v>
      </c>
      <c r="E48" s="150" t="s">
        <v>83</v>
      </c>
      <c r="F48" s="222" t="s">
        <v>134</v>
      </c>
    </row>
    <row r="49" spans="2:6" x14ac:dyDescent="0.25">
      <c r="B49" s="430" t="s">
        <v>85</v>
      </c>
      <c r="C49" s="431"/>
      <c r="D49" s="431"/>
      <c r="E49" s="431"/>
      <c r="F49" s="432"/>
    </row>
    <row r="50" spans="2:6" x14ac:dyDescent="0.25">
      <c r="B50" s="149" t="s">
        <v>86</v>
      </c>
      <c r="C50" s="219">
        <v>0.25</v>
      </c>
      <c r="D50" s="219">
        <v>0.4</v>
      </c>
      <c r="E50" s="150" t="s">
        <v>87</v>
      </c>
      <c r="F50" s="190" t="s">
        <v>290</v>
      </c>
    </row>
    <row r="51" spans="2:6" x14ac:dyDescent="0.25">
      <c r="B51" s="430" t="s">
        <v>56</v>
      </c>
      <c r="C51" s="431"/>
      <c r="D51" s="431"/>
      <c r="E51" s="431"/>
      <c r="F51" s="432"/>
    </row>
    <row r="52" spans="2:6" ht="60" x14ac:dyDescent="0.25">
      <c r="B52" s="223" t="s">
        <v>90</v>
      </c>
      <c r="C52" s="271">
        <f>MIN(C48:D48)/D50</f>
        <v>1.25</v>
      </c>
      <c r="D52" s="209">
        <f>MAX(C48:D48)/C50</f>
        <v>616</v>
      </c>
      <c r="E52" s="150" t="s">
        <v>83</v>
      </c>
      <c r="F52" s="222" t="s">
        <v>127</v>
      </c>
    </row>
    <row r="53" spans="2:6" ht="18" x14ac:dyDescent="0.25">
      <c r="B53" s="149" t="s">
        <v>295</v>
      </c>
      <c r="C53" s="262">
        <v>11.8</v>
      </c>
      <c r="D53" s="262">
        <v>11.8</v>
      </c>
      <c r="E53" s="150" t="s">
        <v>95</v>
      </c>
      <c r="F53" s="222" t="s">
        <v>296</v>
      </c>
    </row>
    <row r="54" spans="2:6" x14ac:dyDescent="0.25">
      <c r="B54" s="224">
        <v>0.1</v>
      </c>
      <c r="C54" s="264">
        <f>0.1*C56</f>
        <v>1.059322033898305E-2</v>
      </c>
      <c r="D54" s="264">
        <f>0.1*D56</f>
        <v>5.2203389830508478</v>
      </c>
      <c r="E54" s="150" t="s">
        <v>105</v>
      </c>
      <c r="F54" s="222"/>
    </row>
    <row r="55" spans="2:6" x14ac:dyDescent="0.25">
      <c r="B55" s="224">
        <v>0.3</v>
      </c>
      <c r="C55" s="264">
        <f>0.3*C56</f>
        <v>3.1779661016949151E-2</v>
      </c>
      <c r="D55" s="264">
        <f>0.3*D56</f>
        <v>15.66101694915254</v>
      </c>
      <c r="E55" s="150" t="s">
        <v>105</v>
      </c>
      <c r="F55" s="222"/>
    </row>
    <row r="56" spans="2:6" x14ac:dyDescent="0.25">
      <c r="B56" s="223" t="s">
        <v>98</v>
      </c>
      <c r="C56" s="284">
        <f>C52*1000/C53*1/1000</f>
        <v>0.1059322033898305</v>
      </c>
      <c r="D56" s="284">
        <f>D52*1000/D53*1/1000</f>
        <v>52.20338983050847</v>
      </c>
      <c r="E56" s="150" t="s">
        <v>105</v>
      </c>
      <c r="F56" s="222"/>
    </row>
    <row r="57" spans="2:6" x14ac:dyDescent="0.25">
      <c r="B57" s="405" t="s">
        <v>136</v>
      </c>
      <c r="C57" s="406"/>
      <c r="D57" s="406"/>
      <c r="E57" s="406"/>
      <c r="F57" s="407"/>
    </row>
    <row r="58" spans="2:6" ht="30" x14ac:dyDescent="0.25">
      <c r="B58" s="149" t="s">
        <v>120</v>
      </c>
      <c r="C58" s="202">
        <v>10</v>
      </c>
      <c r="D58" s="202">
        <v>500</v>
      </c>
      <c r="E58" s="150" t="s">
        <v>137</v>
      </c>
      <c r="F58" s="189"/>
    </row>
    <row r="59" spans="2:6" x14ac:dyDescent="0.25">
      <c r="B59" s="149" t="s">
        <v>138</v>
      </c>
      <c r="C59" s="221">
        <v>1</v>
      </c>
      <c r="D59" s="221">
        <v>1</v>
      </c>
      <c r="E59" s="150" t="s">
        <v>124</v>
      </c>
      <c r="F59" s="222" t="s">
        <v>125</v>
      </c>
    </row>
    <row r="60" spans="2:6" ht="60" x14ac:dyDescent="0.25">
      <c r="B60" s="110" t="s">
        <v>114</v>
      </c>
      <c r="C60" s="209">
        <f>C58*C59*8760</f>
        <v>87600</v>
      </c>
      <c r="D60" s="209">
        <f>D58*D59*8760</f>
        <v>4380000</v>
      </c>
      <c r="E60" s="150" t="s">
        <v>83</v>
      </c>
      <c r="F60" s="222" t="s">
        <v>139</v>
      </c>
    </row>
    <row r="61" spans="2:6" x14ac:dyDescent="0.25">
      <c r="B61" s="430" t="s">
        <v>140</v>
      </c>
      <c r="C61" s="431"/>
      <c r="D61" s="431"/>
      <c r="E61" s="431"/>
      <c r="F61" s="432"/>
    </row>
    <row r="62" spans="2:6" ht="75" x14ac:dyDescent="0.25">
      <c r="B62" s="149" t="s">
        <v>86</v>
      </c>
      <c r="C62" s="219">
        <v>0.25</v>
      </c>
      <c r="D62" s="219">
        <v>0.4</v>
      </c>
      <c r="E62" s="150" t="s">
        <v>87</v>
      </c>
      <c r="F62" s="190" t="s">
        <v>141</v>
      </c>
    </row>
    <row r="63" spans="2:6" x14ac:dyDescent="0.25">
      <c r="B63" s="430" t="s">
        <v>56</v>
      </c>
      <c r="C63" s="431"/>
      <c r="D63" s="431"/>
      <c r="E63" s="431"/>
      <c r="F63" s="432"/>
    </row>
    <row r="64" spans="2:6" ht="60" x14ac:dyDescent="0.25">
      <c r="B64" s="223" t="s">
        <v>90</v>
      </c>
      <c r="C64" s="271">
        <f>MIN(C60:D60)/D62</f>
        <v>219000</v>
      </c>
      <c r="D64" s="209">
        <f>MAX(C60:D60)/C62</f>
        <v>17520000</v>
      </c>
      <c r="E64" s="150" t="s">
        <v>83</v>
      </c>
      <c r="F64" s="222" t="s">
        <v>142</v>
      </c>
    </row>
    <row r="65" spans="2:6" ht="18" x14ac:dyDescent="0.25">
      <c r="B65" s="149" t="s">
        <v>295</v>
      </c>
      <c r="C65" s="262">
        <v>11.8</v>
      </c>
      <c r="D65" s="262">
        <v>11.8</v>
      </c>
      <c r="E65" s="150" t="s">
        <v>95</v>
      </c>
      <c r="F65" s="222" t="s">
        <v>296</v>
      </c>
    </row>
    <row r="66" spans="2:6" x14ac:dyDescent="0.25">
      <c r="B66" s="223" t="s">
        <v>98</v>
      </c>
      <c r="C66" s="271">
        <f>C64*1000/C65*1/1000000</f>
        <v>18.559322033898304</v>
      </c>
      <c r="D66" s="271">
        <f>D64*1000/D65*1/1000000</f>
        <v>1484.7457627118642</v>
      </c>
      <c r="E66" s="150" t="s">
        <v>292</v>
      </c>
      <c r="F66" s="222"/>
    </row>
    <row r="67" spans="2:6" x14ac:dyDescent="0.25">
      <c r="B67" s="179"/>
      <c r="F67" s="225"/>
    </row>
    <row r="68" spans="2:6" x14ac:dyDescent="0.25">
      <c r="B68" s="433" t="s">
        <v>65</v>
      </c>
      <c r="C68" s="434" t="s">
        <v>66</v>
      </c>
      <c r="D68" s="434"/>
      <c r="E68" s="435" t="s">
        <v>67</v>
      </c>
      <c r="F68" s="436" t="s">
        <v>68</v>
      </c>
    </row>
    <row r="69" spans="2:6" x14ac:dyDescent="0.25">
      <c r="B69" s="433"/>
      <c r="C69" s="150" t="s">
        <v>70</v>
      </c>
      <c r="D69" s="150" t="s">
        <v>71</v>
      </c>
      <c r="E69" s="435"/>
      <c r="F69" s="436"/>
    </row>
    <row r="70" spans="2:6" x14ac:dyDescent="0.25">
      <c r="B70" s="430" t="s">
        <v>299</v>
      </c>
      <c r="C70" s="431"/>
      <c r="D70" s="431"/>
      <c r="E70" s="431"/>
      <c r="F70" s="432"/>
    </row>
    <row r="71" spans="2:6" ht="30" x14ac:dyDescent="0.25">
      <c r="B71" s="149" t="s">
        <v>120</v>
      </c>
      <c r="C71" s="201">
        <v>0.01</v>
      </c>
      <c r="D71" s="201">
        <v>0.01</v>
      </c>
      <c r="E71" s="150" t="s">
        <v>137</v>
      </c>
      <c r="F71" s="189"/>
    </row>
    <row r="72" spans="2:6" x14ac:dyDescent="0.25">
      <c r="B72" s="149" t="s">
        <v>138</v>
      </c>
      <c r="C72" s="221">
        <v>1</v>
      </c>
      <c r="D72" s="221">
        <v>1</v>
      </c>
      <c r="E72" s="150"/>
      <c r="F72" s="222" t="s">
        <v>125</v>
      </c>
    </row>
    <row r="73" spans="2:6" ht="45" x14ac:dyDescent="0.25">
      <c r="B73" s="110" t="s">
        <v>114</v>
      </c>
      <c r="C73" s="273">
        <f>C71*C72*8760</f>
        <v>87.600000000000009</v>
      </c>
      <c r="D73" s="209">
        <f>D71*D72*8760</f>
        <v>87.600000000000009</v>
      </c>
      <c r="E73" s="150" t="s">
        <v>83</v>
      </c>
      <c r="F73" s="226" t="s">
        <v>274</v>
      </c>
    </row>
    <row r="74" spans="2:6" x14ac:dyDescent="0.25">
      <c r="B74" s="430" t="s">
        <v>218</v>
      </c>
      <c r="C74" s="431"/>
      <c r="D74" s="431"/>
      <c r="E74" s="431"/>
      <c r="F74" s="432"/>
    </row>
    <row r="75" spans="2:6" x14ac:dyDescent="0.25">
      <c r="B75" s="149" t="s">
        <v>300</v>
      </c>
      <c r="C75" s="262">
        <f>C79*0.1</f>
        <v>1.8559322033898308E-3</v>
      </c>
      <c r="D75" s="262">
        <f>D79*0.1</f>
        <v>2.9694915254237291E-3</v>
      </c>
      <c r="E75" s="150" t="s">
        <v>292</v>
      </c>
      <c r="F75" s="216"/>
    </row>
    <row r="76" spans="2:6" x14ac:dyDescent="0.25">
      <c r="B76" s="430" t="s">
        <v>223</v>
      </c>
      <c r="C76" s="431"/>
      <c r="D76" s="431"/>
      <c r="E76" s="431"/>
      <c r="F76" s="432"/>
    </row>
    <row r="77" spans="2:6" x14ac:dyDescent="0.25">
      <c r="B77" s="149" t="s">
        <v>300</v>
      </c>
      <c r="C77" s="252">
        <f>C79*0.3</f>
        <v>5.567796610169492E-3</v>
      </c>
      <c r="D77" s="252">
        <f>D79*0.3</f>
        <v>8.9084745762711866E-3</v>
      </c>
      <c r="E77" s="150" t="s">
        <v>292</v>
      </c>
      <c r="F77" s="216"/>
    </row>
    <row r="78" spans="2:6" x14ac:dyDescent="0.25">
      <c r="B78" s="430" t="s">
        <v>227</v>
      </c>
      <c r="C78" s="431"/>
      <c r="D78" s="431"/>
      <c r="E78" s="431"/>
      <c r="F78" s="432"/>
    </row>
    <row r="79" spans="2:6" x14ac:dyDescent="0.25">
      <c r="B79" s="149" t="s">
        <v>300</v>
      </c>
      <c r="C79" s="262">
        <f>C73*(1/0.4)*(10^3)*(1/11.8)*(1/10^3)/1000</f>
        <v>1.8559322033898307E-2</v>
      </c>
      <c r="D79" s="262">
        <f>D73*(1/0.25)*(10^3)*(1/11.8)*(1/10^3)/1000</f>
        <v>2.969491525423729E-2</v>
      </c>
      <c r="E79" s="150" t="s">
        <v>292</v>
      </c>
      <c r="F79" s="216"/>
    </row>
    <row r="80" spans="2:6" x14ac:dyDescent="0.25">
      <c r="B80" s="430" t="s">
        <v>301</v>
      </c>
      <c r="C80" s="431"/>
      <c r="D80" s="431"/>
      <c r="E80" s="431"/>
      <c r="F80" s="432"/>
    </row>
    <row r="81" spans="2:6" ht="30" x14ac:dyDescent="0.25">
      <c r="B81" s="149" t="s">
        <v>120</v>
      </c>
      <c r="C81" s="201">
        <v>0.1</v>
      </c>
      <c r="D81" s="201">
        <v>0.1</v>
      </c>
      <c r="E81" s="150" t="s">
        <v>137</v>
      </c>
      <c r="F81" s="189"/>
    </row>
    <row r="82" spans="2:6" x14ac:dyDescent="0.25">
      <c r="B82" s="149" t="s">
        <v>138</v>
      </c>
      <c r="C82" s="221">
        <v>1</v>
      </c>
      <c r="D82" s="221">
        <v>1</v>
      </c>
      <c r="E82" s="150"/>
      <c r="F82" s="222" t="s">
        <v>125</v>
      </c>
    </row>
    <row r="83" spans="2:6" ht="45" x14ac:dyDescent="0.25">
      <c r="B83" s="110" t="s">
        <v>114</v>
      </c>
      <c r="C83" s="209">
        <f>C81*C82*8760</f>
        <v>876</v>
      </c>
      <c r="D83" s="209">
        <f>D81*D82*8760</f>
        <v>876</v>
      </c>
      <c r="E83" s="150" t="s">
        <v>83</v>
      </c>
      <c r="F83" s="226" t="s">
        <v>280</v>
      </c>
    </row>
    <row r="84" spans="2:6" x14ac:dyDescent="0.25">
      <c r="B84" s="430" t="s">
        <v>218</v>
      </c>
      <c r="C84" s="431"/>
      <c r="D84" s="431"/>
      <c r="E84" s="431"/>
      <c r="F84" s="432"/>
    </row>
    <row r="85" spans="2:6" x14ac:dyDescent="0.25">
      <c r="B85" s="149" t="s">
        <v>300</v>
      </c>
      <c r="C85" s="262">
        <f>C89*0.1</f>
        <v>1.8559322033898307E-2</v>
      </c>
      <c r="D85" s="262">
        <f>D89*0.1</f>
        <v>2.9694915254237286E-2</v>
      </c>
      <c r="E85" s="150" t="s">
        <v>292</v>
      </c>
      <c r="F85" s="216"/>
    </row>
    <row r="86" spans="2:6" x14ac:dyDescent="0.25">
      <c r="B86" s="430" t="s">
        <v>223</v>
      </c>
      <c r="C86" s="431"/>
      <c r="D86" s="431"/>
      <c r="E86" s="431"/>
      <c r="F86" s="432"/>
    </row>
    <row r="87" spans="2:6" x14ac:dyDescent="0.25">
      <c r="B87" s="149" t="s">
        <v>300</v>
      </c>
      <c r="C87" s="252">
        <f>C89*0.3</f>
        <v>5.5677966101694919E-2</v>
      </c>
      <c r="D87" s="252">
        <f>D89*0.3</f>
        <v>8.9084745762711859E-2</v>
      </c>
      <c r="E87" s="150" t="s">
        <v>292</v>
      </c>
      <c r="F87" s="216"/>
    </row>
    <row r="88" spans="2:6" x14ac:dyDescent="0.25">
      <c r="B88" s="430" t="s">
        <v>227</v>
      </c>
      <c r="C88" s="431"/>
      <c r="D88" s="431"/>
      <c r="E88" s="431"/>
      <c r="F88" s="432"/>
    </row>
    <row r="89" spans="2:6" x14ac:dyDescent="0.25">
      <c r="B89" s="149" t="s">
        <v>300</v>
      </c>
      <c r="C89" s="262">
        <f>C83*(1/0.4)*(10^3)*(1/11.8)*(1/10^3)/1000</f>
        <v>0.18559322033898307</v>
      </c>
      <c r="D89" s="262">
        <f>D83*(1/0.25)*(10^3)*(1/11.8)*(1/10^3)/1000</f>
        <v>0.29694915254237286</v>
      </c>
      <c r="E89" s="150" t="s">
        <v>292</v>
      </c>
      <c r="F89" s="216"/>
    </row>
    <row r="90" spans="2:6" x14ac:dyDescent="0.25">
      <c r="B90" s="430" t="s">
        <v>302</v>
      </c>
      <c r="C90" s="431"/>
      <c r="D90" s="431"/>
      <c r="E90" s="431"/>
      <c r="F90" s="432"/>
    </row>
    <row r="91" spans="2:6" ht="30" x14ac:dyDescent="0.25">
      <c r="B91" s="149" t="s">
        <v>120</v>
      </c>
      <c r="C91" s="218">
        <v>0.5</v>
      </c>
      <c r="D91" s="218">
        <v>0.5</v>
      </c>
      <c r="E91" s="150" t="s">
        <v>137</v>
      </c>
      <c r="F91" s="189"/>
    </row>
    <row r="92" spans="2:6" x14ac:dyDescent="0.25">
      <c r="B92" s="149" t="s">
        <v>138</v>
      </c>
      <c r="C92" s="221">
        <v>1</v>
      </c>
      <c r="D92" s="221">
        <v>1</v>
      </c>
      <c r="E92" s="150"/>
      <c r="F92" s="222" t="s">
        <v>125</v>
      </c>
    </row>
    <row r="93" spans="2:6" ht="45" x14ac:dyDescent="0.25">
      <c r="B93" s="110" t="s">
        <v>114</v>
      </c>
      <c r="C93" s="209">
        <f>C91*C92*8760</f>
        <v>4380</v>
      </c>
      <c r="D93" s="209">
        <f>D91*D92*8760</f>
        <v>4380</v>
      </c>
      <c r="E93" s="150" t="s">
        <v>83</v>
      </c>
      <c r="F93" s="226" t="s">
        <v>280</v>
      </c>
    </row>
    <row r="94" spans="2:6" x14ac:dyDescent="0.25">
      <c r="B94" s="430" t="s">
        <v>218</v>
      </c>
      <c r="C94" s="431"/>
      <c r="D94" s="431"/>
      <c r="E94" s="431"/>
      <c r="F94" s="432"/>
    </row>
    <row r="95" spans="2:6" x14ac:dyDescent="0.25">
      <c r="B95" s="149" t="s">
        <v>300</v>
      </c>
      <c r="C95" s="262">
        <f>C99*0.1</f>
        <v>9.2796610169491534E-2</v>
      </c>
      <c r="D95" s="262">
        <f>D99*0.1</f>
        <v>0.14847457627118646</v>
      </c>
      <c r="E95" s="150" t="s">
        <v>292</v>
      </c>
      <c r="F95" s="216"/>
    </row>
    <row r="96" spans="2:6" x14ac:dyDescent="0.25">
      <c r="B96" s="430" t="s">
        <v>223</v>
      </c>
      <c r="C96" s="431"/>
      <c r="D96" s="431"/>
      <c r="E96" s="431"/>
      <c r="F96" s="432"/>
    </row>
    <row r="97" spans="2:6" x14ac:dyDescent="0.25">
      <c r="B97" s="149" t="s">
        <v>300</v>
      </c>
      <c r="C97" s="252">
        <f>C99*0.3</f>
        <v>0.27838983050847455</v>
      </c>
      <c r="D97" s="252">
        <f>D99*0.3</f>
        <v>0.44542372881355935</v>
      </c>
      <c r="E97" s="150" t="s">
        <v>292</v>
      </c>
      <c r="F97" s="216"/>
    </row>
    <row r="98" spans="2:6" x14ac:dyDescent="0.25">
      <c r="B98" s="430" t="s">
        <v>227</v>
      </c>
      <c r="C98" s="431"/>
      <c r="D98" s="431"/>
      <c r="E98" s="431"/>
      <c r="F98" s="432"/>
    </row>
    <row r="99" spans="2:6" x14ac:dyDescent="0.25">
      <c r="B99" s="149" t="s">
        <v>300</v>
      </c>
      <c r="C99" s="252">
        <f>C93*(1/0.4)*(10^3)*(1/11.8)*(1/10^3)/1000</f>
        <v>0.92796610169491522</v>
      </c>
      <c r="D99" s="271">
        <f>D93*(1/0.25)*(10^3)*(1/11.8)*(1/10^3)/1000</f>
        <v>1.4847457627118645</v>
      </c>
      <c r="E99" s="150" t="s">
        <v>292</v>
      </c>
      <c r="F99" s="216"/>
    </row>
    <row r="100" spans="2:6" x14ac:dyDescent="0.25">
      <c r="B100" s="430" t="s">
        <v>303</v>
      </c>
      <c r="C100" s="431"/>
      <c r="D100" s="431"/>
      <c r="E100" s="431"/>
      <c r="F100" s="432"/>
    </row>
    <row r="101" spans="2:6" ht="30" x14ac:dyDescent="0.25">
      <c r="B101" s="149" t="s">
        <v>120</v>
      </c>
      <c r="C101" s="218">
        <v>1</v>
      </c>
      <c r="D101" s="218">
        <v>1</v>
      </c>
      <c r="E101" s="150" t="s">
        <v>137</v>
      </c>
      <c r="F101" s="189"/>
    </row>
    <row r="102" spans="2:6" x14ac:dyDescent="0.25">
      <c r="B102" s="149" t="s">
        <v>138</v>
      </c>
      <c r="C102" s="221">
        <v>1</v>
      </c>
      <c r="D102" s="221">
        <v>1</v>
      </c>
      <c r="E102" s="150"/>
      <c r="F102" s="222" t="s">
        <v>125</v>
      </c>
    </row>
    <row r="103" spans="2:6" ht="45" x14ac:dyDescent="0.25">
      <c r="B103" s="110" t="s">
        <v>114</v>
      </c>
      <c r="C103" s="209">
        <f>C101*C102*8760</f>
        <v>8760</v>
      </c>
      <c r="D103" s="209">
        <f>D101*D102*8760</f>
        <v>8760</v>
      </c>
      <c r="E103" s="150" t="s">
        <v>83</v>
      </c>
      <c r="F103" s="226" t="s">
        <v>280</v>
      </c>
    </row>
    <row r="104" spans="2:6" x14ac:dyDescent="0.25">
      <c r="B104" s="430" t="s">
        <v>218</v>
      </c>
      <c r="C104" s="431"/>
      <c r="D104" s="431"/>
      <c r="E104" s="431"/>
      <c r="F104" s="432"/>
    </row>
    <row r="105" spans="2:6" x14ac:dyDescent="0.25">
      <c r="B105" s="149" t="s">
        <v>300</v>
      </c>
      <c r="C105" s="262">
        <f>C109*0.1</f>
        <v>0.18559322033898307</v>
      </c>
      <c r="D105" s="262">
        <f>D109*0.1</f>
        <v>0.29694915254237292</v>
      </c>
      <c r="E105" s="150" t="s">
        <v>292</v>
      </c>
      <c r="F105" s="216"/>
    </row>
    <row r="106" spans="2:6" x14ac:dyDescent="0.25">
      <c r="B106" s="430" t="s">
        <v>223</v>
      </c>
      <c r="C106" s="431"/>
      <c r="D106" s="431"/>
      <c r="E106" s="431"/>
      <c r="F106" s="432"/>
    </row>
    <row r="107" spans="2:6" x14ac:dyDescent="0.25">
      <c r="B107" s="149" t="s">
        <v>300</v>
      </c>
      <c r="C107" s="252">
        <f>C109*0.3</f>
        <v>0.55677966101694909</v>
      </c>
      <c r="D107" s="252">
        <f>D109*0.3</f>
        <v>0.8908474576271187</v>
      </c>
      <c r="E107" s="150" t="s">
        <v>292</v>
      </c>
      <c r="F107" s="216"/>
    </row>
    <row r="108" spans="2:6" x14ac:dyDescent="0.25">
      <c r="B108" s="430" t="s">
        <v>227</v>
      </c>
      <c r="C108" s="431"/>
      <c r="D108" s="431"/>
      <c r="E108" s="431"/>
      <c r="F108" s="432"/>
    </row>
    <row r="109" spans="2:6" x14ac:dyDescent="0.25">
      <c r="B109" s="149" t="s">
        <v>300</v>
      </c>
      <c r="C109" s="252">
        <f>C103*(1/0.4)*(10^3)*(1/11.8)*(1/10^3)/1000</f>
        <v>1.8559322033898304</v>
      </c>
      <c r="D109" s="274">
        <f>D103*(1/0.25)*(10^3)*(1/11.8)*(1/10^3)/1000</f>
        <v>2.9694915254237291</v>
      </c>
      <c r="E109" s="150" t="s">
        <v>292</v>
      </c>
      <c r="F109" s="216"/>
    </row>
    <row r="110" spans="2:6" x14ac:dyDescent="0.25">
      <c r="B110" s="430" t="s">
        <v>304</v>
      </c>
      <c r="C110" s="431"/>
      <c r="D110" s="431"/>
      <c r="E110" s="431"/>
      <c r="F110" s="432"/>
    </row>
    <row r="111" spans="2:6" ht="30" x14ac:dyDescent="0.25">
      <c r="B111" s="149" t="s">
        <v>120</v>
      </c>
      <c r="C111" s="218">
        <v>5</v>
      </c>
      <c r="D111" s="218">
        <v>5</v>
      </c>
      <c r="E111" s="150" t="s">
        <v>137</v>
      </c>
      <c r="F111" s="189"/>
    </row>
    <row r="112" spans="2:6" x14ac:dyDescent="0.25">
      <c r="B112" s="149" t="s">
        <v>138</v>
      </c>
      <c r="C112" s="221">
        <v>1</v>
      </c>
      <c r="D112" s="221">
        <v>1</v>
      </c>
      <c r="E112" s="150"/>
      <c r="F112" s="222" t="s">
        <v>125</v>
      </c>
    </row>
    <row r="113" spans="2:6" ht="45" x14ac:dyDescent="0.25">
      <c r="B113" s="110" t="s">
        <v>114</v>
      </c>
      <c r="C113" s="209">
        <f>C111*C112*8760</f>
        <v>43800</v>
      </c>
      <c r="D113" s="209">
        <f>D111*D112*8760</f>
        <v>43800</v>
      </c>
      <c r="E113" s="150" t="s">
        <v>83</v>
      </c>
      <c r="F113" s="226" t="s">
        <v>280</v>
      </c>
    </row>
    <row r="114" spans="2:6" x14ac:dyDescent="0.25">
      <c r="B114" s="430" t="s">
        <v>218</v>
      </c>
      <c r="C114" s="431"/>
      <c r="D114" s="431"/>
      <c r="E114" s="431"/>
      <c r="F114" s="432"/>
    </row>
    <row r="115" spans="2:6" x14ac:dyDescent="0.25">
      <c r="B115" s="149" t="s">
        <v>300</v>
      </c>
      <c r="C115" s="262">
        <f>C119*0.1</f>
        <v>0.92796610169491522</v>
      </c>
      <c r="D115" s="262">
        <f>D119*0.1</f>
        <v>1.4847457627118645</v>
      </c>
      <c r="E115" s="150" t="s">
        <v>292</v>
      </c>
      <c r="F115" s="216"/>
    </row>
    <row r="116" spans="2:6" x14ac:dyDescent="0.25">
      <c r="B116" s="430" t="s">
        <v>223</v>
      </c>
      <c r="C116" s="431"/>
      <c r="D116" s="431"/>
      <c r="E116" s="431"/>
      <c r="F116" s="432"/>
    </row>
    <row r="117" spans="2:6" x14ac:dyDescent="0.25">
      <c r="B117" s="149" t="s">
        <v>300</v>
      </c>
      <c r="C117" s="252">
        <f>C119*0.3</f>
        <v>2.7838983050847457</v>
      </c>
      <c r="D117" s="252">
        <f>D119*0.3</f>
        <v>4.4542372881355927</v>
      </c>
      <c r="E117" s="150" t="s">
        <v>292</v>
      </c>
      <c r="F117" s="216"/>
    </row>
    <row r="118" spans="2:6" x14ac:dyDescent="0.25">
      <c r="B118" s="430" t="s">
        <v>227</v>
      </c>
      <c r="C118" s="431"/>
      <c r="D118" s="431"/>
      <c r="E118" s="431"/>
      <c r="F118" s="432"/>
    </row>
    <row r="119" spans="2:6" x14ac:dyDescent="0.25">
      <c r="B119" s="149" t="s">
        <v>300</v>
      </c>
      <c r="C119" s="252">
        <f>C113*(1/0.4)*(10^3)*(1/11.8)*(1/10^3)/1000</f>
        <v>9.2796610169491522</v>
      </c>
      <c r="D119" s="271">
        <f>D113*(1/0.25)*(10^3)*(1/11.8)*(1/10^3)/1000</f>
        <v>14.847457627118644</v>
      </c>
      <c r="E119" s="150" t="s">
        <v>292</v>
      </c>
      <c r="F119" s="216"/>
    </row>
    <row r="120" spans="2:6" x14ac:dyDescent="0.25">
      <c r="B120" s="430" t="s">
        <v>305</v>
      </c>
      <c r="C120" s="431"/>
      <c r="D120" s="431"/>
      <c r="E120" s="431"/>
      <c r="F120" s="432"/>
    </row>
    <row r="121" spans="2:6" ht="30" x14ac:dyDescent="0.25">
      <c r="B121" s="149" t="s">
        <v>120</v>
      </c>
      <c r="C121" s="218">
        <v>10</v>
      </c>
      <c r="D121" s="218">
        <v>10</v>
      </c>
      <c r="E121" s="150" t="s">
        <v>137</v>
      </c>
      <c r="F121" s="189"/>
    </row>
    <row r="122" spans="2:6" x14ac:dyDescent="0.25">
      <c r="B122" s="149" t="s">
        <v>138</v>
      </c>
      <c r="C122" s="221">
        <v>1</v>
      </c>
      <c r="D122" s="221">
        <v>1</v>
      </c>
      <c r="E122" s="150"/>
      <c r="F122" s="222" t="s">
        <v>125</v>
      </c>
    </row>
    <row r="123" spans="2:6" ht="45" x14ac:dyDescent="0.25">
      <c r="B123" s="110" t="s">
        <v>114</v>
      </c>
      <c r="C123" s="209">
        <f>C121*C122*8760</f>
        <v>87600</v>
      </c>
      <c r="D123" s="209">
        <f>D121*D122*8760</f>
        <v>87600</v>
      </c>
      <c r="E123" s="150" t="s">
        <v>83</v>
      </c>
      <c r="F123" s="226" t="s">
        <v>280</v>
      </c>
    </row>
    <row r="124" spans="2:6" x14ac:dyDescent="0.25">
      <c r="B124" s="430" t="s">
        <v>218</v>
      </c>
      <c r="C124" s="431"/>
      <c r="D124" s="431"/>
      <c r="E124" s="431"/>
      <c r="F124" s="432"/>
    </row>
    <row r="125" spans="2:6" x14ac:dyDescent="0.25">
      <c r="B125" s="149" t="s">
        <v>300</v>
      </c>
      <c r="C125" s="262">
        <f>C129*0.1</f>
        <v>1.8559322033898304</v>
      </c>
      <c r="D125" s="262">
        <f>D129*0.1</f>
        <v>2.9694915254237291</v>
      </c>
      <c r="E125" s="150" t="s">
        <v>292</v>
      </c>
      <c r="F125" s="216"/>
    </row>
    <row r="126" spans="2:6" x14ac:dyDescent="0.25">
      <c r="B126" s="430" t="s">
        <v>223</v>
      </c>
      <c r="C126" s="431"/>
      <c r="D126" s="431"/>
      <c r="E126" s="431"/>
      <c r="F126" s="432"/>
    </row>
    <row r="127" spans="2:6" x14ac:dyDescent="0.25">
      <c r="B127" s="149" t="s">
        <v>300</v>
      </c>
      <c r="C127" s="252">
        <f>C129*0.3</f>
        <v>5.5677966101694913</v>
      </c>
      <c r="D127" s="252">
        <f>D129*0.3</f>
        <v>8.9084745762711854</v>
      </c>
      <c r="E127" s="150" t="s">
        <v>292</v>
      </c>
      <c r="F127" s="216"/>
    </row>
    <row r="128" spans="2:6" x14ac:dyDescent="0.25">
      <c r="B128" s="430" t="s">
        <v>227</v>
      </c>
      <c r="C128" s="431"/>
      <c r="D128" s="431"/>
      <c r="E128" s="431"/>
      <c r="F128" s="432"/>
    </row>
    <row r="129" spans="2:6" ht="15.75" thickBot="1" x14ac:dyDescent="0.3">
      <c r="B129" s="152" t="s">
        <v>300</v>
      </c>
      <c r="C129" s="275">
        <f>C123*(1/0.4)*(10^3)*(1/11.8)*(1/10^3)/1000</f>
        <v>18.559322033898304</v>
      </c>
      <c r="D129" s="272">
        <f>D123*(1/0.25)*(10^3)*(1/11.8)*(1/10^3)/1000</f>
        <v>29.694915254237287</v>
      </c>
      <c r="E129" s="153" t="s">
        <v>292</v>
      </c>
      <c r="F129" s="227"/>
    </row>
  </sheetData>
  <mergeCells count="67">
    <mergeCell ref="B12:F12"/>
    <mergeCell ref="B6:B7"/>
    <mergeCell ref="C6:D6"/>
    <mergeCell ref="E6:E7"/>
    <mergeCell ref="F6:F7"/>
    <mergeCell ref="B8:F8"/>
    <mergeCell ref="B20:F20"/>
    <mergeCell ref="B25:F25"/>
    <mergeCell ref="B27:F27"/>
    <mergeCell ref="B33:F33"/>
    <mergeCell ref="B37:F37"/>
    <mergeCell ref="N16:R16"/>
    <mergeCell ref="B63:F63"/>
    <mergeCell ref="H6:H7"/>
    <mergeCell ref="I6:J6"/>
    <mergeCell ref="K6:K7"/>
    <mergeCell ref="L6:L7"/>
    <mergeCell ref="H8:L8"/>
    <mergeCell ref="H16:L16"/>
    <mergeCell ref="H24:L24"/>
    <mergeCell ref="B39:F39"/>
    <mergeCell ref="B45:F45"/>
    <mergeCell ref="B49:F49"/>
    <mergeCell ref="B51:F51"/>
    <mergeCell ref="B57:F57"/>
    <mergeCell ref="B61:F61"/>
    <mergeCell ref="B14:F14"/>
    <mergeCell ref="N6:N7"/>
    <mergeCell ref="O6:P6"/>
    <mergeCell ref="Q6:Q7"/>
    <mergeCell ref="R6:R7"/>
    <mergeCell ref="N8:R8"/>
    <mergeCell ref="N24:R24"/>
    <mergeCell ref="N32:R32"/>
    <mergeCell ref="N40:R40"/>
    <mergeCell ref="B68:B69"/>
    <mergeCell ref="C68:D68"/>
    <mergeCell ref="E68:E69"/>
    <mergeCell ref="F68:F69"/>
    <mergeCell ref="B98:F98"/>
    <mergeCell ref="B70:F70"/>
    <mergeCell ref="B74:F74"/>
    <mergeCell ref="B76:F76"/>
    <mergeCell ref="B78:F78"/>
    <mergeCell ref="B80:F80"/>
    <mergeCell ref="B84:F84"/>
    <mergeCell ref="B118:F118"/>
    <mergeCell ref="B120:F120"/>
    <mergeCell ref="B124:F124"/>
    <mergeCell ref="B126:F126"/>
    <mergeCell ref="B128:F128"/>
    <mergeCell ref="C5:D5"/>
    <mergeCell ref="E5:F5"/>
    <mergeCell ref="H5:I5"/>
    <mergeCell ref="N5:O5"/>
    <mergeCell ref="B116:F116"/>
    <mergeCell ref="B100:F100"/>
    <mergeCell ref="B104:F104"/>
    <mergeCell ref="B106:F106"/>
    <mergeCell ref="B108:F108"/>
    <mergeCell ref="B110:F110"/>
    <mergeCell ref="B114:F114"/>
    <mergeCell ref="B86:F86"/>
    <mergeCell ref="B88:F88"/>
    <mergeCell ref="B90:F90"/>
    <mergeCell ref="B94:F94"/>
    <mergeCell ref="B96:F96"/>
  </mergeCells>
  <hyperlinks>
    <hyperlink ref="F9" r:id="rId1" location="Sec6" xr:uid="{CD56429A-67CC-44CC-A8F8-2AD320FF6808}"/>
    <hyperlink ref="R41" r:id="rId2" xr:uid="{DF2E339A-AAD2-4DD1-AB1E-7DD5A5792600}"/>
  </hyperlink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564F8B-EA9B-46FF-839D-DD128AD0BF21}">
  <dimension ref="B3:F61"/>
  <sheetViews>
    <sheetView topLeftCell="A3" zoomScale="80" zoomScaleNormal="80" workbookViewId="0">
      <selection activeCell="C23" sqref="C23:D24"/>
    </sheetView>
  </sheetViews>
  <sheetFormatPr defaultColWidth="15.7109375" defaultRowHeight="15" x14ac:dyDescent="0.25"/>
  <cols>
    <col min="1" max="1" width="6.7109375" customWidth="1"/>
    <col min="2" max="2" width="23.42578125" style="56" customWidth="1"/>
    <col min="3" max="5" width="15.7109375" style="56"/>
    <col min="6" max="6" width="85.7109375" style="56" bestFit="1" customWidth="1"/>
  </cols>
  <sheetData>
    <row r="3" spans="2:6" ht="18.75" x14ac:dyDescent="0.3">
      <c r="B3" s="210" t="s">
        <v>61</v>
      </c>
    </row>
    <row r="4" spans="2:6" ht="15.75" thickBot="1" x14ac:dyDescent="0.3"/>
    <row r="5" spans="2:6" ht="19.5" thickBot="1" x14ac:dyDescent="0.35">
      <c r="B5" s="211" t="s">
        <v>7</v>
      </c>
    </row>
    <row r="6" spans="2:6" ht="15.75" thickBot="1" x14ac:dyDescent="0.3">
      <c r="B6" s="464" t="s">
        <v>65</v>
      </c>
      <c r="C6" s="466" t="s">
        <v>66</v>
      </c>
      <c r="D6" s="467"/>
      <c r="E6" s="464" t="s">
        <v>67</v>
      </c>
      <c r="F6" s="464" t="s">
        <v>68</v>
      </c>
    </row>
    <row r="7" spans="2:6" ht="15.75" thickBot="1" x14ac:dyDescent="0.3">
      <c r="B7" s="465"/>
      <c r="C7" s="213" t="s">
        <v>70</v>
      </c>
      <c r="D7" s="212" t="s">
        <v>71</v>
      </c>
      <c r="E7" s="465"/>
      <c r="F7" s="465"/>
    </row>
    <row r="8" spans="2:6" ht="15.75" thickBot="1" x14ac:dyDescent="0.3">
      <c r="B8" s="333" t="s">
        <v>306</v>
      </c>
      <c r="C8" s="334"/>
      <c r="D8" s="334"/>
      <c r="E8" s="334"/>
      <c r="F8" s="335"/>
    </row>
    <row r="9" spans="2:6" ht="30" x14ac:dyDescent="0.25">
      <c r="B9" s="108" t="s">
        <v>307</v>
      </c>
      <c r="C9" s="215">
        <v>19</v>
      </c>
      <c r="D9" s="215">
        <v>76</v>
      </c>
      <c r="E9" s="109" t="s">
        <v>308</v>
      </c>
      <c r="F9" s="77" t="s">
        <v>309</v>
      </c>
    </row>
    <row r="10" spans="2:6" ht="30" x14ac:dyDescent="0.25">
      <c r="B10" s="149" t="s">
        <v>162</v>
      </c>
      <c r="C10" s="201">
        <v>106</v>
      </c>
      <c r="D10" s="201">
        <v>106</v>
      </c>
      <c r="E10" s="150" t="s">
        <v>310</v>
      </c>
      <c r="F10" s="189" t="s">
        <v>311</v>
      </c>
    </row>
    <row r="11" spans="2:6" ht="45" x14ac:dyDescent="0.25">
      <c r="B11" s="149" t="s">
        <v>312</v>
      </c>
      <c r="C11" s="288">
        <f>0.1*C13</f>
        <v>0.16112000000000001</v>
      </c>
      <c r="D11" s="288">
        <f>0.1*D13</f>
        <v>0.64448000000000005</v>
      </c>
      <c r="E11" s="150" t="s">
        <v>105</v>
      </c>
      <c r="F11" s="461" t="s">
        <v>313</v>
      </c>
    </row>
    <row r="12" spans="2:6" ht="45" x14ac:dyDescent="0.25">
      <c r="B12" s="149" t="s">
        <v>314</v>
      </c>
      <c r="C12" s="288">
        <f>0.5*C13</f>
        <v>0.80559999999999998</v>
      </c>
      <c r="D12" s="288">
        <f>0.5*D13</f>
        <v>3.2223999999999999</v>
      </c>
      <c r="E12" s="150" t="s">
        <v>105</v>
      </c>
      <c r="F12" s="462"/>
    </row>
    <row r="13" spans="2:6" ht="30.75" thickBot="1" x14ac:dyDescent="0.3">
      <c r="B13" s="159" t="s">
        <v>315</v>
      </c>
      <c r="C13" s="265">
        <f>C9*C10*0.8/1000</f>
        <v>1.6112</v>
      </c>
      <c r="D13" s="265">
        <f>D9*D10*0.8/1000</f>
        <v>6.4447999999999999</v>
      </c>
      <c r="E13" s="160" t="s">
        <v>105</v>
      </c>
      <c r="F13" s="462"/>
    </row>
    <row r="14" spans="2:6" ht="15.75" thickBot="1" x14ac:dyDescent="0.3">
      <c r="B14" s="333" t="s">
        <v>316</v>
      </c>
      <c r="C14" s="334"/>
      <c r="D14" s="334"/>
      <c r="E14" s="334"/>
      <c r="F14" s="335"/>
    </row>
    <row r="15" spans="2:6" ht="30" x14ac:dyDescent="0.25">
      <c r="B15" s="108" t="s">
        <v>307</v>
      </c>
      <c r="C15" s="214">
        <v>95</v>
      </c>
      <c r="D15" s="214">
        <v>4165</v>
      </c>
      <c r="E15" s="109" t="s">
        <v>308</v>
      </c>
      <c r="F15" s="77" t="s">
        <v>309</v>
      </c>
    </row>
    <row r="16" spans="2:6" ht="30" x14ac:dyDescent="0.25">
      <c r="B16" s="120" t="s">
        <v>162</v>
      </c>
      <c r="C16" s="201">
        <v>106</v>
      </c>
      <c r="D16" s="201">
        <v>106</v>
      </c>
      <c r="E16" s="150" t="s">
        <v>310</v>
      </c>
      <c r="F16" s="189" t="s">
        <v>311</v>
      </c>
    </row>
    <row r="17" spans="2:6" ht="45" x14ac:dyDescent="0.25">
      <c r="B17" s="149" t="s">
        <v>312</v>
      </c>
      <c r="C17" s="288">
        <f>0.1*C19</f>
        <v>0.80559999999999998</v>
      </c>
      <c r="D17" s="288">
        <f>0.1*D19</f>
        <v>35.319200000000002</v>
      </c>
      <c r="E17" s="150" t="s">
        <v>105</v>
      </c>
      <c r="F17" s="459" t="s">
        <v>313</v>
      </c>
    </row>
    <row r="18" spans="2:6" ht="45" x14ac:dyDescent="0.25">
      <c r="B18" s="149" t="s">
        <v>314</v>
      </c>
      <c r="C18" s="288">
        <f>0.5*C19</f>
        <v>4.0279999999999996</v>
      </c>
      <c r="D18" s="288">
        <f>0.5*D19</f>
        <v>176.596</v>
      </c>
      <c r="E18" s="150" t="s">
        <v>105</v>
      </c>
      <c r="F18" s="459"/>
    </row>
    <row r="19" spans="2:6" ht="30.75" thickBot="1" x14ac:dyDescent="0.3">
      <c r="B19" s="159" t="s">
        <v>315</v>
      </c>
      <c r="C19" s="265">
        <f>C15*C16*0.8/1000</f>
        <v>8.0559999999999992</v>
      </c>
      <c r="D19" s="265">
        <f>D15*D16*0.8/1000</f>
        <v>353.19200000000001</v>
      </c>
      <c r="E19" s="160" t="s">
        <v>105</v>
      </c>
      <c r="F19" s="461"/>
    </row>
    <row r="20" spans="2:6" ht="15.75" thickBot="1" x14ac:dyDescent="0.3">
      <c r="B20" s="333" t="s">
        <v>317</v>
      </c>
      <c r="C20" s="334"/>
      <c r="D20" s="334"/>
      <c r="E20" s="334"/>
      <c r="F20" s="335"/>
    </row>
    <row r="21" spans="2:6" ht="30" x14ac:dyDescent="0.25">
      <c r="B21" s="108" t="s">
        <v>307</v>
      </c>
      <c r="C21" s="76">
        <v>507</v>
      </c>
      <c r="D21" s="76">
        <v>840</v>
      </c>
      <c r="E21" s="109" t="s">
        <v>308</v>
      </c>
      <c r="F21" s="77" t="s">
        <v>318</v>
      </c>
    </row>
    <row r="22" spans="2:6" ht="30" x14ac:dyDescent="0.25">
      <c r="B22" s="120" t="s">
        <v>162</v>
      </c>
      <c r="C22" s="79">
        <v>448</v>
      </c>
      <c r="D22" s="79">
        <v>448</v>
      </c>
      <c r="E22" s="121" t="s">
        <v>310</v>
      </c>
      <c r="F22" s="203" t="s">
        <v>319</v>
      </c>
    </row>
    <row r="23" spans="2:6" ht="45" x14ac:dyDescent="0.25">
      <c r="B23" s="149" t="s">
        <v>312</v>
      </c>
      <c r="C23" s="288">
        <f>0.1*C25</f>
        <v>18.170880000000004</v>
      </c>
      <c r="D23" s="288">
        <f>0.1*D25</f>
        <v>30.105599999999999</v>
      </c>
      <c r="E23" s="150" t="s">
        <v>105</v>
      </c>
      <c r="F23" s="461" t="s">
        <v>313</v>
      </c>
    </row>
    <row r="24" spans="2:6" ht="45" x14ac:dyDescent="0.25">
      <c r="B24" s="149" t="s">
        <v>314</v>
      </c>
      <c r="C24" s="288">
        <f>0.5*C25</f>
        <v>90.854400000000012</v>
      </c>
      <c r="D24" s="288">
        <f>0.5*D25</f>
        <v>150.52799999999999</v>
      </c>
      <c r="E24" s="150" t="s">
        <v>105</v>
      </c>
      <c r="F24" s="462"/>
    </row>
    <row r="25" spans="2:6" ht="30.75" thickBot="1" x14ac:dyDescent="0.3">
      <c r="B25" s="149" t="s">
        <v>315</v>
      </c>
      <c r="C25" s="289">
        <f>C21*C22*0.8/1000</f>
        <v>181.70880000000002</v>
      </c>
      <c r="D25" s="289">
        <f>D21*D22*0.8/1000</f>
        <v>301.05599999999998</v>
      </c>
      <c r="E25" s="115" t="s">
        <v>105</v>
      </c>
      <c r="F25" s="463"/>
    </row>
    <row r="26" spans="2:6" ht="15.75" thickBot="1" x14ac:dyDescent="0.3">
      <c r="B26" s="333" t="s">
        <v>320</v>
      </c>
      <c r="C26" s="334"/>
      <c r="D26" s="334"/>
      <c r="E26" s="334"/>
      <c r="F26" s="335"/>
    </row>
    <row r="27" spans="2:6" ht="30" x14ac:dyDescent="0.25">
      <c r="B27" s="108" t="s">
        <v>307</v>
      </c>
      <c r="C27" s="76">
        <v>750</v>
      </c>
      <c r="D27" s="76">
        <v>1102</v>
      </c>
      <c r="E27" s="109" t="s">
        <v>308</v>
      </c>
      <c r="F27" s="77" t="s">
        <v>318</v>
      </c>
    </row>
    <row r="28" spans="2:6" ht="30" x14ac:dyDescent="0.25">
      <c r="B28" s="120" t="s">
        <v>162</v>
      </c>
      <c r="C28" s="79">
        <v>448</v>
      </c>
      <c r="D28" s="79">
        <v>448</v>
      </c>
      <c r="E28" s="121" t="s">
        <v>310</v>
      </c>
      <c r="F28" s="203" t="s">
        <v>319</v>
      </c>
    </row>
    <row r="29" spans="2:6" ht="45" x14ac:dyDescent="0.25">
      <c r="B29" s="149" t="s">
        <v>312</v>
      </c>
      <c r="C29" s="288">
        <f>0.1*C31</f>
        <v>26.880000000000003</v>
      </c>
      <c r="D29" s="288">
        <f>0.1*D31</f>
        <v>39.495680000000007</v>
      </c>
      <c r="E29" s="150" t="s">
        <v>105</v>
      </c>
      <c r="F29" s="461" t="s">
        <v>313</v>
      </c>
    </row>
    <row r="30" spans="2:6" ht="45" x14ac:dyDescent="0.25">
      <c r="B30" s="149" t="s">
        <v>314</v>
      </c>
      <c r="C30" s="288">
        <f>0.5*C31</f>
        <v>134.4</v>
      </c>
      <c r="D30" s="288">
        <f>0.5*D31</f>
        <v>197.47840000000002</v>
      </c>
      <c r="E30" s="150" t="s">
        <v>105</v>
      </c>
      <c r="F30" s="462"/>
    </row>
    <row r="31" spans="2:6" ht="30.75" thickBot="1" x14ac:dyDescent="0.3">
      <c r="B31" s="149" t="s">
        <v>315</v>
      </c>
      <c r="C31" s="289">
        <f>C27*C28*0.8/1000</f>
        <v>268.8</v>
      </c>
      <c r="D31" s="289">
        <f>D27*D28*0.8/1000</f>
        <v>394.95680000000004</v>
      </c>
      <c r="E31" s="115" t="s">
        <v>105</v>
      </c>
      <c r="F31" s="463"/>
    </row>
    <row r="32" spans="2:6" ht="15.75" thickBot="1" x14ac:dyDescent="0.3">
      <c r="B32" s="333" t="s">
        <v>321</v>
      </c>
      <c r="C32" s="334"/>
      <c r="D32" s="334"/>
      <c r="E32" s="334"/>
      <c r="F32" s="335"/>
    </row>
    <row r="33" spans="2:6" ht="30" x14ac:dyDescent="0.25">
      <c r="B33" s="108" t="s">
        <v>307</v>
      </c>
      <c r="C33" s="76">
        <v>1075</v>
      </c>
      <c r="D33" s="76">
        <v>2044</v>
      </c>
      <c r="E33" s="109" t="s">
        <v>308</v>
      </c>
      <c r="F33" s="77" t="s">
        <v>318</v>
      </c>
    </row>
    <row r="34" spans="2:6" ht="30" x14ac:dyDescent="0.25">
      <c r="B34" s="120" t="s">
        <v>162</v>
      </c>
      <c r="C34" s="79">
        <v>448</v>
      </c>
      <c r="D34" s="79">
        <v>448</v>
      </c>
      <c r="E34" s="121" t="s">
        <v>310</v>
      </c>
      <c r="F34" s="203" t="s">
        <v>319</v>
      </c>
    </row>
    <row r="35" spans="2:6" ht="45" x14ac:dyDescent="0.25">
      <c r="B35" s="149" t="s">
        <v>312</v>
      </c>
      <c r="C35" s="288">
        <f>0.1*C37</f>
        <v>38.527999999999999</v>
      </c>
      <c r="D35" s="288">
        <f>0.1*D37</f>
        <v>73.256960000000007</v>
      </c>
      <c r="E35" s="150" t="s">
        <v>105</v>
      </c>
      <c r="F35" s="461" t="s">
        <v>313</v>
      </c>
    </row>
    <row r="36" spans="2:6" ht="45" x14ac:dyDescent="0.25">
      <c r="B36" s="149" t="s">
        <v>314</v>
      </c>
      <c r="C36" s="288">
        <f>0.5*C37</f>
        <v>192.64</v>
      </c>
      <c r="D36" s="288">
        <f>0.5*D37</f>
        <v>366.28480000000002</v>
      </c>
      <c r="E36" s="150" t="s">
        <v>105</v>
      </c>
      <c r="F36" s="462"/>
    </row>
    <row r="37" spans="2:6" ht="30.75" thickBot="1" x14ac:dyDescent="0.3">
      <c r="B37" s="149" t="s">
        <v>315</v>
      </c>
      <c r="C37" s="240">
        <f>C33*C34*0.8/1000</f>
        <v>385.28</v>
      </c>
      <c r="D37" s="240">
        <f>D33*D34*0.8/1000</f>
        <v>732.56960000000004</v>
      </c>
      <c r="E37" s="115" t="s">
        <v>105</v>
      </c>
      <c r="F37" s="463"/>
    </row>
    <row r="38" spans="2:6" ht="15.75" thickBot="1" x14ac:dyDescent="0.3">
      <c r="B38" s="333" t="s">
        <v>322</v>
      </c>
      <c r="C38" s="334"/>
      <c r="D38" s="334"/>
      <c r="E38" s="334"/>
      <c r="F38" s="335"/>
    </row>
    <row r="39" spans="2:6" ht="30" x14ac:dyDescent="0.25">
      <c r="B39" s="108" t="s">
        <v>307</v>
      </c>
      <c r="C39" s="76">
        <v>3200</v>
      </c>
      <c r="D39" s="76">
        <v>3200</v>
      </c>
      <c r="E39" s="109" t="s">
        <v>308</v>
      </c>
      <c r="F39" s="77" t="s">
        <v>323</v>
      </c>
    </row>
    <row r="40" spans="2:6" ht="30" x14ac:dyDescent="0.25">
      <c r="B40" s="120" t="s">
        <v>324</v>
      </c>
      <c r="C40" s="204">
        <v>10</v>
      </c>
      <c r="D40" s="204">
        <v>12</v>
      </c>
      <c r="E40" s="121" t="s">
        <v>325</v>
      </c>
      <c r="F40" s="205" t="s">
        <v>326</v>
      </c>
    </row>
    <row r="41" spans="2:6" ht="45" x14ac:dyDescent="0.25">
      <c r="B41" s="149" t="s">
        <v>312</v>
      </c>
      <c r="C41" s="288">
        <f>0.1*C43</f>
        <v>0.93440000000000001</v>
      </c>
      <c r="D41" s="288">
        <f>0.1*D43</f>
        <v>1.1212800000000001</v>
      </c>
      <c r="E41" s="150" t="s">
        <v>292</v>
      </c>
      <c r="F41" s="459" t="s">
        <v>327</v>
      </c>
    </row>
    <row r="42" spans="2:6" ht="45" x14ac:dyDescent="0.25">
      <c r="B42" s="149" t="s">
        <v>314</v>
      </c>
      <c r="C42" s="288">
        <f>0.5*C43</f>
        <v>4.6719999999999997</v>
      </c>
      <c r="D42" s="288">
        <f>0.5*D43</f>
        <v>5.6063999999999998</v>
      </c>
      <c r="E42" s="150" t="s">
        <v>292</v>
      </c>
      <c r="F42" s="459"/>
    </row>
    <row r="43" spans="2:6" ht="30" x14ac:dyDescent="0.25">
      <c r="B43" s="149" t="s">
        <v>315</v>
      </c>
      <c r="C43" s="264">
        <f>C39*C40*365*0.8/1000000</f>
        <v>9.3439999999999994</v>
      </c>
      <c r="D43" s="264">
        <f>D39*D40*365*0.8/1000000</f>
        <v>11.2128</v>
      </c>
      <c r="E43" s="150" t="s">
        <v>292</v>
      </c>
      <c r="F43" s="459"/>
    </row>
    <row r="44" spans="2:6" ht="15.75" thickBot="1" x14ac:dyDescent="0.3">
      <c r="B44" s="460" t="s">
        <v>328</v>
      </c>
      <c r="C44" s="387"/>
      <c r="D44" s="387"/>
      <c r="E44" s="387"/>
      <c r="F44" s="385"/>
    </row>
    <row r="45" spans="2:6" ht="30" x14ac:dyDescent="0.25">
      <c r="B45" s="120" t="s">
        <v>307</v>
      </c>
      <c r="C45" s="206">
        <v>5400</v>
      </c>
      <c r="D45" s="206">
        <f>18*300</f>
        <v>5400</v>
      </c>
      <c r="E45" s="207" t="s">
        <v>308</v>
      </c>
      <c r="F45" s="208" t="s">
        <v>329</v>
      </c>
    </row>
    <row r="46" spans="2:6" ht="30" x14ac:dyDescent="0.25">
      <c r="B46" s="149" t="s">
        <v>324</v>
      </c>
      <c r="C46" s="209">
        <v>14</v>
      </c>
      <c r="D46" s="209">
        <v>15</v>
      </c>
      <c r="E46" s="150" t="s">
        <v>325</v>
      </c>
      <c r="F46" s="217" t="s">
        <v>326</v>
      </c>
    </row>
    <row r="47" spans="2:6" ht="45" x14ac:dyDescent="0.25">
      <c r="B47" s="149" t="s">
        <v>312</v>
      </c>
      <c r="C47" s="288">
        <f>0.1*C49</f>
        <v>2.2075200000000001</v>
      </c>
      <c r="D47" s="288">
        <f>0.1*D49</f>
        <v>2.3652000000000002</v>
      </c>
      <c r="E47" s="150" t="s">
        <v>292</v>
      </c>
      <c r="F47" s="459" t="s">
        <v>327</v>
      </c>
    </row>
    <row r="48" spans="2:6" ht="45" x14ac:dyDescent="0.25">
      <c r="B48" s="149" t="s">
        <v>314</v>
      </c>
      <c r="C48" s="288">
        <f>0.5*C49</f>
        <v>11.037599999999999</v>
      </c>
      <c r="D48" s="288">
        <f>0.5*D49</f>
        <v>11.826000000000001</v>
      </c>
      <c r="E48" s="150" t="s">
        <v>292</v>
      </c>
      <c r="F48" s="459"/>
    </row>
    <row r="49" spans="2:6" ht="30" x14ac:dyDescent="0.25">
      <c r="B49" s="149" t="s">
        <v>315</v>
      </c>
      <c r="C49" s="264">
        <f>C45*C46*365*0.8/1000000</f>
        <v>22.075199999999999</v>
      </c>
      <c r="D49" s="264">
        <f>D45*D46*365*0.8/1000000</f>
        <v>23.652000000000001</v>
      </c>
      <c r="E49" s="150" t="s">
        <v>292</v>
      </c>
      <c r="F49" s="459"/>
    </row>
    <row r="50" spans="2:6" ht="15.75" thickBot="1" x14ac:dyDescent="0.3">
      <c r="B50" s="460" t="s">
        <v>330</v>
      </c>
      <c r="C50" s="387"/>
      <c r="D50" s="387"/>
      <c r="E50" s="387"/>
      <c r="F50" s="385"/>
    </row>
    <row r="51" spans="2:6" ht="30" x14ac:dyDescent="0.25">
      <c r="B51" s="108" t="s">
        <v>307</v>
      </c>
      <c r="C51" s="76">
        <v>3200</v>
      </c>
      <c r="D51" s="76">
        <v>3200</v>
      </c>
      <c r="E51" s="109" t="s">
        <v>308</v>
      </c>
      <c r="F51" s="77" t="s">
        <v>323</v>
      </c>
    </row>
    <row r="52" spans="2:6" ht="30" x14ac:dyDescent="0.25">
      <c r="B52" s="120" t="s">
        <v>324</v>
      </c>
      <c r="C52" s="79">
        <v>3</v>
      </c>
      <c r="D52" s="79">
        <v>4</v>
      </c>
      <c r="E52" s="121" t="s">
        <v>325</v>
      </c>
      <c r="F52" s="203" t="s">
        <v>331</v>
      </c>
    </row>
    <row r="53" spans="2:6" ht="45" x14ac:dyDescent="0.25">
      <c r="B53" s="149" t="s">
        <v>312</v>
      </c>
      <c r="C53" s="288">
        <f>0.1*C55</f>
        <v>0.28032000000000001</v>
      </c>
      <c r="D53" s="288">
        <f>0.1*D55</f>
        <v>0.37376000000000004</v>
      </c>
      <c r="E53" s="150" t="s">
        <v>292</v>
      </c>
      <c r="F53" s="461" t="s">
        <v>327</v>
      </c>
    </row>
    <row r="54" spans="2:6" ht="45" x14ac:dyDescent="0.25">
      <c r="B54" s="149" t="s">
        <v>314</v>
      </c>
      <c r="C54" s="288">
        <f>0.5*C55</f>
        <v>1.4016</v>
      </c>
      <c r="D54" s="288">
        <f>0.5*D55</f>
        <v>1.8688</v>
      </c>
      <c r="E54" s="150" t="s">
        <v>292</v>
      </c>
      <c r="F54" s="462"/>
    </row>
    <row r="55" spans="2:6" ht="30.75" thickBot="1" x14ac:dyDescent="0.3">
      <c r="B55" s="149" t="s">
        <v>315</v>
      </c>
      <c r="C55" s="240">
        <f>C51*C52*365*0.8/1000000</f>
        <v>2.8031999999999999</v>
      </c>
      <c r="D55" s="240">
        <f>D51*D52*365*0.8/1000000</f>
        <v>3.7376</v>
      </c>
      <c r="E55" s="150" t="s">
        <v>292</v>
      </c>
      <c r="F55" s="463"/>
    </row>
    <row r="56" spans="2:6" ht="15.75" thickBot="1" x14ac:dyDescent="0.3">
      <c r="B56" s="333" t="s">
        <v>332</v>
      </c>
      <c r="C56" s="334"/>
      <c r="D56" s="334"/>
      <c r="E56" s="334"/>
      <c r="F56" s="335"/>
    </row>
    <row r="57" spans="2:6" ht="30" x14ac:dyDescent="0.25">
      <c r="B57" s="108" t="s">
        <v>307</v>
      </c>
      <c r="C57" s="76">
        <v>5400</v>
      </c>
      <c r="D57" s="76">
        <f>18*300</f>
        <v>5400</v>
      </c>
      <c r="E57" s="109" t="s">
        <v>308</v>
      </c>
      <c r="F57" s="77" t="s">
        <v>329</v>
      </c>
    </row>
    <row r="58" spans="2:6" ht="30" x14ac:dyDescent="0.25">
      <c r="B58" s="120" t="s">
        <v>324</v>
      </c>
      <c r="C58" s="79">
        <v>7</v>
      </c>
      <c r="D58" s="79">
        <v>9</v>
      </c>
      <c r="E58" s="121" t="s">
        <v>325</v>
      </c>
      <c r="F58" s="203" t="s">
        <v>331</v>
      </c>
    </row>
    <row r="59" spans="2:6" ht="45" x14ac:dyDescent="0.25">
      <c r="B59" s="149" t="s">
        <v>312</v>
      </c>
      <c r="C59" s="288">
        <f>0.1*C61</f>
        <v>1.1037600000000001</v>
      </c>
      <c r="D59" s="288">
        <f>0.1*D61</f>
        <v>1.4191200000000002</v>
      </c>
      <c r="E59" s="150" t="s">
        <v>292</v>
      </c>
      <c r="F59" s="461" t="s">
        <v>327</v>
      </c>
    </row>
    <row r="60" spans="2:6" ht="45" x14ac:dyDescent="0.25">
      <c r="B60" s="149" t="s">
        <v>314</v>
      </c>
      <c r="C60" s="288">
        <f>0.5*C61</f>
        <v>5.5187999999999997</v>
      </c>
      <c r="D60" s="288">
        <f>0.5*D61</f>
        <v>7.0956000000000001</v>
      </c>
      <c r="E60" s="150" t="s">
        <v>292</v>
      </c>
      <c r="F60" s="462"/>
    </row>
    <row r="61" spans="2:6" ht="30.75" thickBot="1" x14ac:dyDescent="0.3">
      <c r="B61" s="152" t="s">
        <v>315</v>
      </c>
      <c r="C61" s="240">
        <f>C57*C58*365*0.8/1000000</f>
        <v>11.037599999999999</v>
      </c>
      <c r="D61" s="240">
        <f>D57*D58*365*0.8/1000000</f>
        <v>14.1912</v>
      </c>
      <c r="E61" s="153" t="s">
        <v>292</v>
      </c>
      <c r="F61" s="463"/>
    </row>
  </sheetData>
  <mergeCells count="22">
    <mergeCell ref="B6:B7"/>
    <mergeCell ref="C6:D6"/>
    <mergeCell ref="E6:E7"/>
    <mergeCell ref="F6:F7"/>
    <mergeCell ref="B8:F8"/>
    <mergeCell ref="B44:F44"/>
    <mergeCell ref="F11:F13"/>
    <mergeCell ref="B14:F14"/>
    <mergeCell ref="F17:F19"/>
    <mergeCell ref="B20:F20"/>
    <mergeCell ref="F23:F25"/>
    <mergeCell ref="B26:F26"/>
    <mergeCell ref="F29:F31"/>
    <mergeCell ref="B32:F32"/>
    <mergeCell ref="F35:F37"/>
    <mergeCell ref="B38:F38"/>
    <mergeCell ref="F41:F43"/>
    <mergeCell ref="F47:F49"/>
    <mergeCell ref="B50:F50"/>
    <mergeCell ref="F53:F55"/>
    <mergeCell ref="B56:F56"/>
    <mergeCell ref="F59:F61"/>
  </mergeCells>
  <hyperlinks>
    <hyperlink ref="F9" r:id="rId1" xr:uid="{CA2C7FAD-F10B-40F9-B2CB-98BE063405E3}"/>
    <hyperlink ref="F15" r:id="rId2" xr:uid="{2344537A-2451-4E35-B3C4-3D45026DF8DE}"/>
    <hyperlink ref="F22" r:id="rId3" xr:uid="{4FFD955D-69EA-4327-B07F-2BC5DE62B389}"/>
    <hyperlink ref="F28" r:id="rId4" xr:uid="{2EC62FE9-8017-42C8-B3C3-8AA3B6FD3506}"/>
    <hyperlink ref="F34" r:id="rId5" xr:uid="{B8FF8C3A-B830-4336-842E-4A75483F8105}"/>
  </hyperlink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AEFC6D-33C1-4629-853B-60C6D641B13D}">
  <dimension ref="B2:F10"/>
  <sheetViews>
    <sheetView zoomScale="80" zoomScaleNormal="80" workbookViewId="0">
      <selection activeCell="B4" sqref="B4"/>
    </sheetView>
  </sheetViews>
  <sheetFormatPr defaultColWidth="15.5703125" defaultRowHeight="15" x14ac:dyDescent="0.25"/>
  <cols>
    <col min="1" max="1" width="8" customWidth="1"/>
    <col min="2" max="2" width="17.42578125" style="315" customWidth="1"/>
    <col min="3" max="5" width="15.5703125" style="315"/>
    <col min="6" max="6" width="15.5703125" style="3"/>
  </cols>
  <sheetData>
    <row r="2" spans="2:6" ht="18.75" x14ac:dyDescent="0.3">
      <c r="B2" s="316" t="s">
        <v>333</v>
      </c>
    </row>
    <row r="3" spans="2:6" ht="15.75" thickBot="1" x14ac:dyDescent="0.3"/>
    <row r="4" spans="2:6" s="315" customFormat="1" ht="15.75" thickBot="1" x14ac:dyDescent="0.3">
      <c r="B4" s="317" t="s">
        <v>9</v>
      </c>
      <c r="C4" s="318" t="s">
        <v>105</v>
      </c>
      <c r="D4" s="318" t="s">
        <v>334</v>
      </c>
      <c r="E4" s="318" t="s">
        <v>335</v>
      </c>
      <c r="F4" s="319" t="s">
        <v>336</v>
      </c>
    </row>
    <row r="5" spans="2:6" x14ac:dyDescent="0.25">
      <c r="B5" s="4" t="s">
        <v>14</v>
      </c>
      <c r="C5" s="8">
        <v>1</v>
      </c>
      <c r="D5" s="322">
        <f>C5*1000</f>
        <v>1000</v>
      </c>
      <c r="E5" s="322">
        <f>D5/'Sector Demands'!E18</f>
        <v>1176.4705882352941</v>
      </c>
      <c r="F5" s="9">
        <f>E5/1000</f>
        <v>1.1764705882352942</v>
      </c>
    </row>
    <row r="6" spans="2:6" x14ac:dyDescent="0.25">
      <c r="B6" s="320" t="s">
        <v>16</v>
      </c>
      <c r="C6" s="3">
        <v>1</v>
      </c>
      <c r="D6" s="323">
        <f t="shared" ref="D6:D10" si="0">C6*1000</f>
        <v>1000</v>
      </c>
      <c r="E6" s="323">
        <f>D6/'Sector Demands'!E19</f>
        <v>48692.603593514148</v>
      </c>
      <c r="F6" s="10">
        <f t="shared" ref="F6:F10" si="1">E6/1000</f>
        <v>48.69260359351415</v>
      </c>
    </row>
    <row r="7" spans="2:6" x14ac:dyDescent="0.25">
      <c r="B7" s="320" t="s">
        <v>18</v>
      </c>
      <c r="C7" s="3">
        <v>1</v>
      </c>
      <c r="D7" s="323">
        <f t="shared" si="0"/>
        <v>1000</v>
      </c>
      <c r="E7" s="323">
        <f>D7/'Sector Demands'!E20</f>
        <v>1656.7263088137838</v>
      </c>
      <c r="F7" s="10">
        <f t="shared" si="1"/>
        <v>1.6567263088137838</v>
      </c>
    </row>
    <row r="8" spans="2:6" x14ac:dyDescent="0.25">
      <c r="B8" s="320" t="s">
        <v>20</v>
      </c>
      <c r="C8" s="3">
        <v>46</v>
      </c>
      <c r="D8" s="323">
        <f t="shared" si="0"/>
        <v>46000</v>
      </c>
      <c r="E8" s="323">
        <f>D8/'Sector Demands'!E21</f>
        <v>58227.848101265823</v>
      </c>
      <c r="F8" s="10">
        <f t="shared" si="1"/>
        <v>58.22784810126582</v>
      </c>
    </row>
    <row r="9" spans="2:6" x14ac:dyDescent="0.25">
      <c r="B9" s="320" t="s">
        <v>21</v>
      </c>
      <c r="C9" s="3">
        <v>21</v>
      </c>
      <c r="D9" s="323">
        <f t="shared" si="0"/>
        <v>21000</v>
      </c>
      <c r="E9" s="323">
        <f>D9/'Sector Demands'!E22</f>
        <v>24705.882352941178</v>
      </c>
      <c r="F9" s="10">
        <f t="shared" si="1"/>
        <v>24.705882352941178</v>
      </c>
    </row>
    <row r="10" spans="2:6" ht="15.75" thickBot="1" x14ac:dyDescent="0.3">
      <c r="B10" s="321" t="s">
        <v>22</v>
      </c>
      <c r="C10" s="11">
        <v>1</v>
      </c>
      <c r="D10" s="324">
        <f t="shared" si="0"/>
        <v>1000</v>
      </c>
      <c r="E10" s="324">
        <f>D10/'Sector Demands'!E23</f>
        <v>1250</v>
      </c>
      <c r="F10" s="12">
        <f t="shared" si="1"/>
        <v>1.25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685ad514-0c43-4d73-b47b-36e0724a9727" xsi:nil="true"/>
    <lcf76f155ced4ddcb4097134ff3c332f xmlns="737afb2c-b8a0-48d4-a054-a2107e78a33e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FDF54604B29254981DB5C71D92A62B1" ma:contentTypeVersion="13" ma:contentTypeDescription="Create a new document." ma:contentTypeScope="" ma:versionID="59ac3bad22c8f0285872822e1b672555">
  <xsd:schema xmlns:xsd="http://www.w3.org/2001/XMLSchema" xmlns:xs="http://www.w3.org/2001/XMLSchema" xmlns:p="http://schemas.microsoft.com/office/2006/metadata/properties" xmlns:ns2="737afb2c-b8a0-48d4-a054-a2107e78a33e" xmlns:ns3="685ad514-0c43-4d73-b47b-36e0724a9727" targetNamespace="http://schemas.microsoft.com/office/2006/metadata/properties" ma:root="true" ma:fieldsID="cbddca1d05727de3c9c1bcbd7e0a8392" ns2:_="" ns3:_="">
    <xsd:import namespace="737afb2c-b8a0-48d4-a054-a2107e78a33e"/>
    <xsd:import namespace="685ad514-0c43-4d73-b47b-36e0724a972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SearchProperties" minOccurs="0"/>
                <xsd:element ref="ns2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37afb2c-b8a0-48d4-a054-a2107e78a33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4" nillable="true" ma:taxonomy="true" ma:internalName="lcf76f155ced4ddcb4097134ff3c332f" ma:taxonomyFieldName="MediaServiceImageTags" ma:displayName="Image Tags" ma:readOnly="false" ma:fieldId="{5cf76f15-5ced-4ddc-b409-7134ff3c332f}" ma:taxonomyMulti="true" ma:sspId="2b026aac-6b52-4d7e-a64d-f3ee90946f5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SearchProperties" ma:index="19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20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85ad514-0c43-4d73-b47b-36e0724a9727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5" nillable="true" ma:displayName="Taxonomy Catch All Column" ma:hidden="true" ma:list="{29fa2161-21f5-46bc-a474-d01e8cb9d1b9}" ma:internalName="TaxCatchAll" ma:showField="CatchAllData" ma:web="685ad514-0c43-4d73-b47b-36e0724a972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67A6561-05D7-45AD-BD49-E45FFB496865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6DE77C04-C45E-41D0-89E0-55A3F97B4AF8}">
  <ds:schemaRefs>
    <ds:schemaRef ds:uri="http://schemas.microsoft.com/office/infopath/2007/PartnerControls"/>
    <ds:schemaRef ds:uri="http://schemas.openxmlformats.org/package/2006/metadata/core-properties"/>
    <ds:schemaRef ds:uri="http://purl.org/dc/dcmitype/"/>
    <ds:schemaRef ds:uri="http://schemas.microsoft.com/office/2006/metadata/properties"/>
    <ds:schemaRef ds:uri="http://schemas.microsoft.com/office/2006/documentManagement/types"/>
    <ds:schemaRef ds:uri="685ad514-0c43-4d73-b47b-36e0724a9727"/>
    <ds:schemaRef ds:uri="http://www.w3.org/XML/1998/namespace"/>
    <ds:schemaRef ds:uri="737afb2c-b8a0-48d4-a054-a2107e78a33e"/>
    <ds:schemaRef ds:uri="http://purl.org/dc/terms/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5B4F945B-737B-43AA-B780-67A0E1442B3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37afb2c-b8a0-48d4-a054-a2107e78a33e"/>
    <ds:schemaRef ds:uri="685ad514-0c43-4d73-b47b-36e0724a972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Sector Demands</vt:lpstr>
      <vt:lpstr>Hydrogen Demand</vt:lpstr>
      <vt:lpstr>Ammonia Demand</vt:lpstr>
      <vt:lpstr>Methanol Demand</vt:lpstr>
      <vt:lpstr>Renewable Diesel Demand</vt:lpstr>
      <vt:lpstr>SAF Demand</vt:lpstr>
      <vt:lpstr>Converter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Josh Leverett</dc:creator>
  <cp:keywords/>
  <dc:description/>
  <cp:lastModifiedBy>Josh Leverett</cp:lastModifiedBy>
  <cp:revision/>
  <dcterms:created xsi:type="dcterms:W3CDTF">2024-05-02T23:01:33Z</dcterms:created>
  <dcterms:modified xsi:type="dcterms:W3CDTF">2024-09-11T02:25:52Z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0x0101009FDF54604B29254981DB5C71D92A62B1</vt:lpwstr>
  </property>
  <property fmtid="{D5CDD505-2E9C-101B-9397-08002B2CF9AE}" pid="3" name="MediaServiceImageTags">
    <vt:lpwstr/>
  </property>
</Properties>
</file>